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24226"/>
  <bookViews>
    <workbookView xWindow="0" yWindow="0" windowWidth="19200" windowHeight="7050" activeTab="4"/>
  </bookViews>
  <sheets>
    <sheet name="vizes munka" sheetId="49" r:id="rId1"/>
    <sheet name="HENA fejléc" sheetId="50" r:id="rId2"/>
    <sheet name="mennyiségek" sheetId="52" r:id="rId3"/>
    <sheet name="tételek" sheetId="51" r:id="rId4"/>
    <sheet name="vill" sheetId="30" r:id="rId5"/>
    <sheet name="ügyf" sheetId="34" r:id="rId6"/>
    <sheet name="ÜTEM" sheetId="37" r:id="rId7"/>
    <sheet name="JK" sheetId="38" r:id="rId8"/>
  </sheets>
  <definedNames>
    <definedName name="_xlnm._FilterDatabase" localSheetId="4" hidden="1">vill!$A$14:$H$25</definedName>
    <definedName name="_xlnm.Print_Area" localSheetId="1">'HENA fejléc'!$A$7:$I$12</definedName>
    <definedName name="_xlnm.Print_Area" localSheetId="4">vill!$A$7:$I$52</definedName>
  </definedNames>
  <calcPr calcId="162913"/>
</workbook>
</file>

<file path=xl/calcChain.xml><?xml version="1.0" encoding="utf-8"?>
<calcChain xmlns="http://schemas.openxmlformats.org/spreadsheetml/2006/main">
  <c r="E44" i="52" l="1"/>
  <c r="E43" i="52"/>
  <c r="E42" i="52"/>
  <c r="E41" i="52"/>
  <c r="M130" i="51"/>
  <c r="N130" i="51" s="1"/>
  <c r="P130" i="51" s="1"/>
  <c r="R130" i="51" s="1"/>
  <c r="M129" i="51"/>
  <c r="N129" i="51" s="1"/>
  <c r="P129" i="51" s="1"/>
  <c r="M128" i="51"/>
  <c r="N128" i="51" s="1"/>
  <c r="P128" i="51" s="1"/>
  <c r="M127" i="51"/>
  <c r="N127" i="51" s="1"/>
  <c r="P127" i="51" s="1"/>
  <c r="M126" i="51"/>
  <c r="N126" i="51" s="1"/>
  <c r="P126" i="51" s="1"/>
  <c r="R126" i="51" s="1"/>
  <c r="P125" i="51"/>
  <c r="R125" i="51" s="1"/>
  <c r="M125" i="51"/>
  <c r="N125" i="51" s="1"/>
  <c r="M124" i="51"/>
  <c r="N124" i="51" s="1"/>
  <c r="P124" i="51" s="1"/>
  <c r="M123" i="51"/>
  <c r="N123" i="51" s="1"/>
  <c r="P123" i="51" s="1"/>
  <c r="M122" i="51"/>
  <c r="N122" i="51" s="1"/>
  <c r="P122" i="51" s="1"/>
  <c r="R122" i="51" s="1"/>
  <c r="P121" i="51"/>
  <c r="R121" i="51" s="1"/>
  <c r="M121" i="51"/>
  <c r="N121" i="51" s="1"/>
  <c r="M120" i="51"/>
  <c r="N120" i="51" s="1"/>
  <c r="P120" i="51" s="1"/>
  <c r="M119" i="51"/>
  <c r="N119" i="51" s="1"/>
  <c r="P119" i="51" s="1"/>
  <c r="M118" i="51"/>
  <c r="N118" i="51" s="1"/>
  <c r="P118" i="51" s="1"/>
  <c r="M117" i="51"/>
  <c r="N117" i="51" s="1"/>
  <c r="P117" i="51" s="1"/>
  <c r="M116" i="51"/>
  <c r="N116" i="51" s="1"/>
  <c r="P116" i="51" s="1"/>
  <c r="M115" i="51"/>
  <c r="N115" i="51" s="1"/>
  <c r="P115" i="51" s="1"/>
  <c r="M114" i="51"/>
  <c r="N114" i="51" s="1"/>
  <c r="P114" i="51" s="1"/>
  <c r="M113" i="51"/>
  <c r="N113" i="51" s="1"/>
  <c r="P113" i="51" s="1"/>
  <c r="M112" i="51"/>
  <c r="N112" i="51" s="1"/>
  <c r="P112" i="51" s="1"/>
  <c r="M111" i="51"/>
  <c r="N111" i="51" s="1"/>
  <c r="P111" i="51" s="1"/>
  <c r="M110" i="51"/>
  <c r="N110" i="51" s="1"/>
  <c r="P110" i="51" s="1"/>
  <c r="M109" i="51"/>
  <c r="N109" i="51" s="1"/>
  <c r="P109" i="51" s="1"/>
  <c r="M108" i="51"/>
  <c r="N108" i="51" s="1"/>
  <c r="P108" i="51" s="1"/>
  <c r="M107" i="51"/>
  <c r="N107" i="51" s="1"/>
  <c r="P107" i="51" s="1"/>
  <c r="M106" i="51"/>
  <c r="N106" i="51" s="1"/>
  <c r="P106" i="51" s="1"/>
  <c r="M105" i="51"/>
  <c r="N105" i="51" s="1"/>
  <c r="P105" i="51" s="1"/>
  <c r="M104" i="51"/>
  <c r="N104" i="51" s="1"/>
  <c r="P104" i="51" s="1"/>
  <c r="M103" i="51"/>
  <c r="N103" i="51" s="1"/>
  <c r="P103" i="51" s="1"/>
  <c r="M102" i="51"/>
  <c r="N102" i="51" s="1"/>
  <c r="P102" i="51" s="1"/>
  <c r="J101" i="51"/>
  <c r="M101" i="51" s="1"/>
  <c r="N101" i="51" s="1"/>
  <c r="P101" i="51" s="1"/>
  <c r="J100" i="51"/>
  <c r="M100" i="51" s="1"/>
  <c r="N100" i="51" s="1"/>
  <c r="P100" i="51" s="1"/>
  <c r="M99" i="51"/>
  <c r="N99" i="51" s="1"/>
  <c r="P99" i="51" s="1"/>
  <c r="M98" i="51"/>
  <c r="N98" i="51" s="1"/>
  <c r="P98" i="51" s="1"/>
  <c r="N97" i="51"/>
  <c r="P97" i="51" s="1"/>
  <c r="R97" i="51" s="1"/>
  <c r="M97" i="51"/>
  <c r="M96" i="51"/>
  <c r="N96" i="51" s="1"/>
  <c r="P96" i="51" s="1"/>
  <c r="M95" i="51"/>
  <c r="N95" i="51" s="1"/>
  <c r="P95" i="51" s="1"/>
  <c r="M94" i="51"/>
  <c r="N94" i="51" s="1"/>
  <c r="P94" i="51" s="1"/>
  <c r="N93" i="51"/>
  <c r="P93" i="51" s="1"/>
  <c r="R93" i="51" s="1"/>
  <c r="M93" i="51"/>
  <c r="M92" i="51"/>
  <c r="N92" i="51" s="1"/>
  <c r="P92" i="51" s="1"/>
  <c r="M91" i="51"/>
  <c r="N91" i="51" s="1"/>
  <c r="P91" i="51" s="1"/>
  <c r="M90" i="51"/>
  <c r="N90" i="51" s="1"/>
  <c r="P90" i="51" s="1"/>
  <c r="N89" i="51"/>
  <c r="P89" i="51" s="1"/>
  <c r="R89" i="51" s="1"/>
  <c r="M89" i="51"/>
  <c r="M88" i="51"/>
  <c r="N88" i="51" s="1"/>
  <c r="P88" i="51" s="1"/>
  <c r="M87" i="51"/>
  <c r="N87" i="51" s="1"/>
  <c r="P87" i="51" s="1"/>
  <c r="M86" i="51"/>
  <c r="N86" i="51" s="1"/>
  <c r="P86" i="51" s="1"/>
  <c r="N85" i="51"/>
  <c r="P85" i="51" s="1"/>
  <c r="R85" i="51" s="1"/>
  <c r="M85" i="51"/>
  <c r="M84" i="51"/>
  <c r="N84" i="51" s="1"/>
  <c r="P84" i="51" s="1"/>
  <c r="M83" i="51"/>
  <c r="N83" i="51" s="1"/>
  <c r="P83" i="51" s="1"/>
  <c r="M82" i="51"/>
  <c r="N82" i="51" s="1"/>
  <c r="P82" i="51" s="1"/>
  <c r="N81" i="51"/>
  <c r="P81" i="51" s="1"/>
  <c r="M81" i="51"/>
  <c r="P80" i="51"/>
  <c r="M80" i="51"/>
  <c r="N80" i="51" s="1"/>
  <c r="M79" i="51"/>
  <c r="N79" i="51" s="1"/>
  <c r="P79" i="51" s="1"/>
  <c r="M78" i="51"/>
  <c r="N78" i="51" s="1"/>
  <c r="P78" i="51" s="1"/>
  <c r="M77" i="51"/>
  <c r="N77" i="51" s="1"/>
  <c r="P77" i="51" s="1"/>
  <c r="P76" i="51"/>
  <c r="M76" i="51"/>
  <c r="N76" i="51" s="1"/>
  <c r="M75" i="51"/>
  <c r="N75" i="51" s="1"/>
  <c r="P75" i="51" s="1"/>
  <c r="M74" i="51"/>
  <c r="N74" i="51" s="1"/>
  <c r="P74" i="51" s="1"/>
  <c r="N73" i="51"/>
  <c r="P73" i="51" s="1"/>
  <c r="M73" i="51"/>
  <c r="P72" i="51"/>
  <c r="R72" i="51" s="1"/>
  <c r="S72" i="51" s="1"/>
  <c r="T72" i="51" s="1"/>
  <c r="M72" i="51"/>
  <c r="N72" i="51" s="1"/>
  <c r="M71" i="51"/>
  <c r="N71" i="51" s="1"/>
  <c r="P71" i="51" s="1"/>
  <c r="M70" i="51"/>
  <c r="N70" i="51" s="1"/>
  <c r="P70" i="51" s="1"/>
  <c r="N69" i="51"/>
  <c r="P69" i="51" s="1"/>
  <c r="M69" i="51"/>
  <c r="M68" i="51"/>
  <c r="N68" i="51" s="1"/>
  <c r="P68" i="51" s="1"/>
  <c r="M67" i="51"/>
  <c r="N67" i="51" s="1"/>
  <c r="P67" i="51" s="1"/>
  <c r="M66" i="51"/>
  <c r="N66" i="51" s="1"/>
  <c r="P66" i="51" s="1"/>
  <c r="N65" i="51"/>
  <c r="P65" i="51" s="1"/>
  <c r="M65" i="51"/>
  <c r="P64" i="51"/>
  <c r="M64" i="51"/>
  <c r="N64" i="51" s="1"/>
  <c r="M63" i="51"/>
  <c r="N63" i="51" s="1"/>
  <c r="P63" i="51" s="1"/>
  <c r="M62" i="51"/>
  <c r="N62" i="51" s="1"/>
  <c r="P62" i="51" s="1"/>
  <c r="M61" i="51"/>
  <c r="N61" i="51" s="1"/>
  <c r="P61" i="51" s="1"/>
  <c r="P60" i="51"/>
  <c r="M60" i="51"/>
  <c r="N60" i="51" s="1"/>
  <c r="M59" i="51"/>
  <c r="N59" i="51" s="1"/>
  <c r="P59" i="51" s="1"/>
  <c r="M58" i="51"/>
  <c r="N58" i="51" s="1"/>
  <c r="P58" i="51" s="1"/>
  <c r="N57" i="51"/>
  <c r="P57" i="51" s="1"/>
  <c r="M57" i="51"/>
  <c r="P56" i="51"/>
  <c r="R56" i="51" s="1"/>
  <c r="S56" i="51" s="1"/>
  <c r="T56" i="51" s="1"/>
  <c r="M56" i="51"/>
  <c r="N56" i="51" s="1"/>
  <c r="M55" i="51"/>
  <c r="N55" i="51" s="1"/>
  <c r="P55" i="51" s="1"/>
  <c r="M54" i="51"/>
  <c r="N54" i="51" s="1"/>
  <c r="P54" i="51" s="1"/>
  <c r="N53" i="51"/>
  <c r="P53" i="51" s="1"/>
  <c r="M53" i="51"/>
  <c r="M52" i="51"/>
  <c r="N52" i="51" s="1"/>
  <c r="P52" i="51" s="1"/>
  <c r="M51" i="51"/>
  <c r="N51" i="51" s="1"/>
  <c r="P51" i="51" s="1"/>
  <c r="M50" i="51"/>
  <c r="N50" i="51" s="1"/>
  <c r="P50" i="51" s="1"/>
  <c r="N49" i="51"/>
  <c r="P49" i="51" s="1"/>
  <c r="M49" i="51"/>
  <c r="P48" i="51"/>
  <c r="M48" i="51"/>
  <c r="N48" i="51" s="1"/>
  <c r="M47" i="51"/>
  <c r="N47" i="51" s="1"/>
  <c r="P47" i="51" s="1"/>
  <c r="M46" i="51"/>
  <c r="N46" i="51" s="1"/>
  <c r="P46" i="51" s="1"/>
  <c r="M45" i="51"/>
  <c r="N45" i="51" s="1"/>
  <c r="P45" i="51" s="1"/>
  <c r="P44" i="51"/>
  <c r="M44" i="51"/>
  <c r="N44" i="51" s="1"/>
  <c r="M43" i="51"/>
  <c r="N43" i="51" s="1"/>
  <c r="P43" i="51" s="1"/>
  <c r="M42" i="51"/>
  <c r="N42" i="51" s="1"/>
  <c r="P42" i="51" s="1"/>
  <c r="N41" i="51"/>
  <c r="P41" i="51" s="1"/>
  <c r="M41" i="51"/>
  <c r="P40" i="51"/>
  <c r="R40" i="51" s="1"/>
  <c r="S40" i="51" s="1"/>
  <c r="T40" i="51" s="1"/>
  <c r="M40" i="51"/>
  <c r="N40" i="51" s="1"/>
  <c r="M39" i="51"/>
  <c r="N39" i="51" s="1"/>
  <c r="P39" i="51" s="1"/>
  <c r="M38" i="51"/>
  <c r="N38" i="51" s="1"/>
  <c r="P38" i="51" s="1"/>
  <c r="N37" i="51"/>
  <c r="P37" i="51" s="1"/>
  <c r="M37" i="51"/>
  <c r="M36" i="51"/>
  <c r="N36" i="51" s="1"/>
  <c r="P36" i="51" s="1"/>
  <c r="M35" i="51"/>
  <c r="N35" i="51" s="1"/>
  <c r="P35" i="51" s="1"/>
  <c r="M34" i="51"/>
  <c r="N34" i="51" s="1"/>
  <c r="P34" i="51" s="1"/>
  <c r="N33" i="51"/>
  <c r="P33" i="51" s="1"/>
  <c r="M33" i="51"/>
  <c r="P32" i="51"/>
  <c r="M32" i="51"/>
  <c r="N32" i="51" s="1"/>
  <c r="M31" i="51"/>
  <c r="N31" i="51" s="1"/>
  <c r="P31" i="51" s="1"/>
  <c r="M30" i="51"/>
  <c r="N30" i="51" s="1"/>
  <c r="P30" i="51" s="1"/>
  <c r="M29" i="51"/>
  <c r="N29" i="51" s="1"/>
  <c r="P29" i="51" s="1"/>
  <c r="P28" i="51"/>
  <c r="M28" i="51"/>
  <c r="N28" i="51" s="1"/>
  <c r="M27" i="51"/>
  <c r="N27" i="51" s="1"/>
  <c r="P27" i="51" s="1"/>
  <c r="J27" i="51"/>
  <c r="M26" i="51"/>
  <c r="N26" i="51" s="1"/>
  <c r="P26" i="51" s="1"/>
  <c r="N25" i="51"/>
  <c r="P25" i="51" s="1"/>
  <c r="M25" i="51"/>
  <c r="M24" i="51"/>
  <c r="N24" i="51" s="1"/>
  <c r="P24" i="51" s="1"/>
  <c r="N23" i="51"/>
  <c r="P23" i="51" s="1"/>
  <c r="M23" i="51"/>
  <c r="M22" i="51"/>
  <c r="N22" i="51" s="1"/>
  <c r="P22" i="51" s="1"/>
  <c r="N21" i="51"/>
  <c r="P21" i="51" s="1"/>
  <c r="M21" i="51"/>
  <c r="M20" i="51"/>
  <c r="N20" i="51" s="1"/>
  <c r="P20" i="51" s="1"/>
  <c r="N19" i="51"/>
  <c r="P19" i="51" s="1"/>
  <c r="J19" i="51"/>
  <c r="M19" i="51" s="1"/>
  <c r="M18" i="51"/>
  <c r="N18" i="51" s="1"/>
  <c r="P18" i="51" s="1"/>
  <c r="M17" i="51"/>
  <c r="N17" i="51" s="1"/>
  <c r="P17" i="51" s="1"/>
  <c r="M16" i="51"/>
  <c r="N16" i="51" s="1"/>
  <c r="P16" i="51" s="1"/>
  <c r="M15" i="51"/>
  <c r="N15" i="51" s="1"/>
  <c r="P15" i="51" s="1"/>
  <c r="M14" i="51"/>
  <c r="N14" i="51" s="1"/>
  <c r="P14" i="51" s="1"/>
  <c r="M13" i="51"/>
  <c r="N13" i="51" s="1"/>
  <c r="P13" i="51" s="1"/>
  <c r="M12" i="51"/>
  <c r="N12" i="51" s="1"/>
  <c r="P12" i="51" s="1"/>
  <c r="M11" i="51"/>
  <c r="N11" i="51" s="1"/>
  <c r="P11" i="51" s="1"/>
  <c r="M10" i="51"/>
  <c r="N10" i="51" s="1"/>
  <c r="P10" i="51" s="1"/>
  <c r="M9" i="51"/>
  <c r="N9" i="51" s="1"/>
  <c r="P9" i="51" s="1"/>
  <c r="M8" i="51"/>
  <c r="N8" i="51" s="1"/>
  <c r="P8" i="51" s="1"/>
  <c r="M7" i="51"/>
  <c r="N7" i="51" s="1"/>
  <c r="P7" i="51" s="1"/>
  <c r="M6" i="51"/>
  <c r="N6" i="51" s="1"/>
  <c r="P6" i="51" s="1"/>
  <c r="M5" i="51"/>
  <c r="N5" i="51" s="1"/>
  <c r="P5" i="51" s="1"/>
  <c r="M4" i="51"/>
  <c r="N4" i="51" s="1"/>
  <c r="P4" i="51" s="1"/>
  <c r="M3" i="51"/>
  <c r="N3" i="51" s="1"/>
  <c r="P3" i="51" s="1"/>
  <c r="M2" i="51"/>
  <c r="N2" i="51" s="1"/>
  <c r="P2" i="51" s="1"/>
  <c r="R18" i="51" l="1"/>
  <c r="S18" i="51" s="1"/>
  <c r="T18" i="51" s="1"/>
  <c r="R52" i="51"/>
  <c r="S52" i="51" s="1"/>
  <c r="T52" i="51" s="1"/>
  <c r="R69" i="51"/>
  <c r="S69" i="51"/>
  <c r="T69" i="51" s="1"/>
  <c r="R75" i="51"/>
  <c r="S75" i="51"/>
  <c r="T75" i="51" s="1"/>
  <c r="R87" i="51"/>
  <c r="S87" i="51" s="1"/>
  <c r="T87" i="51" s="1"/>
  <c r="R100" i="51"/>
  <c r="S100" i="51" s="1"/>
  <c r="T100" i="51" s="1"/>
  <c r="R108" i="51"/>
  <c r="S108" i="51"/>
  <c r="T108" i="51" s="1"/>
  <c r="R116" i="51"/>
  <c r="S116" i="51"/>
  <c r="T116" i="51" s="1"/>
  <c r="S123" i="51"/>
  <c r="T123" i="51" s="1"/>
  <c r="R123" i="51"/>
  <c r="R3" i="51"/>
  <c r="S3" i="51" s="1"/>
  <c r="T3" i="51" s="1"/>
  <c r="R11" i="51"/>
  <c r="S11" i="51" s="1"/>
  <c r="T11" i="51" s="1"/>
  <c r="R24" i="51"/>
  <c r="S24" i="51" s="1"/>
  <c r="T24" i="51" s="1"/>
  <c r="R29" i="51"/>
  <c r="S29" i="51" s="1"/>
  <c r="T29" i="51" s="1"/>
  <c r="R35" i="51"/>
  <c r="S35" i="51"/>
  <c r="T35" i="51" s="1"/>
  <c r="R47" i="51"/>
  <c r="S47" i="51"/>
  <c r="T47" i="51" s="1"/>
  <c r="R58" i="51"/>
  <c r="S58" i="51"/>
  <c r="T58" i="51" s="1"/>
  <c r="S64" i="51"/>
  <c r="T64" i="51" s="1"/>
  <c r="S70" i="51"/>
  <c r="T70" i="51" s="1"/>
  <c r="R70" i="51"/>
  <c r="R81" i="51"/>
  <c r="S81" i="51"/>
  <c r="T81" i="51" s="1"/>
  <c r="S88" i="51"/>
  <c r="T88" i="51" s="1"/>
  <c r="R88" i="51"/>
  <c r="R94" i="51"/>
  <c r="S94" i="51" s="1"/>
  <c r="T94" i="51" s="1"/>
  <c r="S101" i="51"/>
  <c r="T101" i="51" s="1"/>
  <c r="R101" i="51"/>
  <c r="R109" i="51"/>
  <c r="S109" i="51" s="1"/>
  <c r="T109" i="51" s="1"/>
  <c r="S117" i="51"/>
  <c r="T117" i="51" s="1"/>
  <c r="R117" i="51"/>
  <c r="R124" i="51"/>
  <c r="S124" i="51"/>
  <c r="T124" i="51" s="1"/>
  <c r="S23" i="51"/>
  <c r="T23" i="51" s="1"/>
  <c r="R23" i="51"/>
  <c r="R46" i="51"/>
  <c r="S46" i="51" s="1"/>
  <c r="T46" i="51" s="1"/>
  <c r="R30" i="51"/>
  <c r="S30" i="51" s="1"/>
  <c r="T30" i="51" s="1"/>
  <c r="R53" i="51"/>
  <c r="S53" i="51"/>
  <c r="T53" i="51" s="1"/>
  <c r="R102" i="51"/>
  <c r="S102" i="51" s="1"/>
  <c r="T102" i="51" s="1"/>
  <c r="R5" i="51"/>
  <c r="S5" i="51" s="1"/>
  <c r="T5" i="51" s="1"/>
  <c r="S25" i="51"/>
  <c r="T25" i="51" s="1"/>
  <c r="R25" i="51"/>
  <c r="R54" i="51"/>
  <c r="S54" i="51" s="1"/>
  <c r="T54" i="51" s="1"/>
  <c r="R83" i="51"/>
  <c r="S83" i="51" s="1"/>
  <c r="T83" i="51" s="1"/>
  <c r="R119" i="51"/>
  <c r="S119" i="51" s="1"/>
  <c r="T119" i="51" s="1"/>
  <c r="S26" i="51"/>
  <c r="T26" i="51" s="1"/>
  <c r="R26" i="51"/>
  <c r="R37" i="51"/>
  <c r="S37" i="51"/>
  <c r="T37" i="51" s="1"/>
  <c r="R43" i="51"/>
  <c r="S43" i="51" s="1"/>
  <c r="T43" i="51" s="1"/>
  <c r="R55" i="51"/>
  <c r="S55" i="51"/>
  <c r="T55" i="51" s="1"/>
  <c r="S60" i="51"/>
  <c r="T60" i="51" s="1"/>
  <c r="R66" i="51"/>
  <c r="S66" i="51" s="1"/>
  <c r="T66" i="51" s="1"/>
  <c r="S78" i="51"/>
  <c r="T78" i="51" s="1"/>
  <c r="R78" i="51"/>
  <c r="R84" i="51"/>
  <c r="S84" i="51" s="1"/>
  <c r="T84" i="51" s="1"/>
  <c r="R90" i="51"/>
  <c r="S90" i="51" s="1"/>
  <c r="T90" i="51" s="1"/>
  <c r="R104" i="51"/>
  <c r="S104" i="51"/>
  <c r="T104" i="51" s="1"/>
  <c r="R112" i="51"/>
  <c r="S112" i="51" s="1"/>
  <c r="T112" i="51" s="1"/>
  <c r="R120" i="51"/>
  <c r="S120" i="51"/>
  <c r="T120" i="51" s="1"/>
  <c r="R57" i="51"/>
  <c r="S57" i="51"/>
  <c r="T57" i="51" s="1"/>
  <c r="R19" i="51"/>
  <c r="S19" i="51" s="1"/>
  <c r="T19" i="51" s="1"/>
  <c r="R41" i="51"/>
  <c r="S41" i="51" s="1"/>
  <c r="T41" i="51" s="1"/>
  <c r="R95" i="51"/>
  <c r="S95" i="51"/>
  <c r="T95" i="51" s="1"/>
  <c r="R20" i="51"/>
  <c r="S20" i="51"/>
  <c r="T20" i="51" s="1"/>
  <c r="R111" i="51"/>
  <c r="S111" i="51" s="1"/>
  <c r="T111" i="51" s="1"/>
  <c r="S7" i="51"/>
  <c r="T7" i="51" s="1"/>
  <c r="R7" i="51"/>
  <c r="R15" i="51"/>
  <c r="S15" i="51" s="1"/>
  <c r="T15" i="51" s="1"/>
  <c r="R21" i="51"/>
  <c r="S21" i="51" s="1"/>
  <c r="T21" i="51" s="1"/>
  <c r="R38" i="51"/>
  <c r="S38" i="51" s="1"/>
  <c r="T38" i="51" s="1"/>
  <c r="R49" i="51"/>
  <c r="S49" i="51" s="1"/>
  <c r="T49" i="51" s="1"/>
  <c r="R61" i="51"/>
  <c r="S61" i="51"/>
  <c r="T61" i="51" s="1"/>
  <c r="R67" i="51"/>
  <c r="S67" i="51" s="1"/>
  <c r="T67" i="51" s="1"/>
  <c r="R79" i="51"/>
  <c r="S79" i="51"/>
  <c r="T79" i="51" s="1"/>
  <c r="R91" i="51"/>
  <c r="S91" i="51" s="1"/>
  <c r="T91" i="51" s="1"/>
  <c r="R105" i="51"/>
  <c r="S105" i="51" s="1"/>
  <c r="T105" i="51" s="1"/>
  <c r="S113" i="51"/>
  <c r="T113" i="51" s="1"/>
  <c r="R113" i="51"/>
  <c r="R127" i="51"/>
  <c r="S127" i="51" s="1"/>
  <c r="T127" i="51" s="1"/>
  <c r="S10" i="51"/>
  <c r="T10" i="51" s="1"/>
  <c r="R10" i="51"/>
  <c r="S28" i="51"/>
  <c r="T28" i="51" s="1"/>
  <c r="R12" i="51"/>
  <c r="S12" i="51"/>
  <c r="T12" i="51" s="1"/>
  <c r="R59" i="51"/>
  <c r="S59" i="51"/>
  <c r="T59" i="51" s="1"/>
  <c r="R82" i="51"/>
  <c r="S82" i="51" s="1"/>
  <c r="T82" i="51" s="1"/>
  <c r="R118" i="51"/>
  <c r="S118" i="51"/>
  <c r="T118" i="51" s="1"/>
  <c r="R13" i="51"/>
  <c r="S13" i="51" s="1"/>
  <c r="T13" i="51" s="1"/>
  <c r="R42" i="51"/>
  <c r="S42" i="51"/>
  <c r="T42" i="51" s="1"/>
  <c r="R77" i="51"/>
  <c r="S77" i="51"/>
  <c r="T77" i="51" s="1"/>
  <c r="R96" i="51"/>
  <c r="S96" i="51" s="1"/>
  <c r="T96" i="51" s="1"/>
  <c r="R6" i="51"/>
  <c r="S6" i="51" s="1"/>
  <c r="T6" i="51" s="1"/>
  <c r="R16" i="51"/>
  <c r="S16" i="51"/>
  <c r="T16" i="51" s="1"/>
  <c r="R22" i="51"/>
  <c r="S22" i="51" s="1"/>
  <c r="T22" i="51" s="1"/>
  <c r="R27" i="51"/>
  <c r="S27" i="51"/>
  <c r="T27" i="51" s="1"/>
  <c r="R39" i="51"/>
  <c r="S39" i="51"/>
  <c r="T39" i="51" s="1"/>
  <c r="R50" i="51"/>
  <c r="S50" i="51" s="1"/>
  <c r="T50" i="51" s="1"/>
  <c r="S62" i="51"/>
  <c r="T62" i="51" s="1"/>
  <c r="R62" i="51"/>
  <c r="R68" i="51"/>
  <c r="S68" i="51" s="1"/>
  <c r="T68" i="51" s="1"/>
  <c r="R73" i="51"/>
  <c r="S73" i="51" s="1"/>
  <c r="T73" i="51" s="1"/>
  <c r="R92" i="51"/>
  <c r="S92" i="51" s="1"/>
  <c r="T92" i="51" s="1"/>
  <c r="S98" i="51"/>
  <c r="T98" i="51" s="1"/>
  <c r="R98" i="51"/>
  <c r="R106" i="51"/>
  <c r="S106" i="51"/>
  <c r="T106" i="51" s="1"/>
  <c r="R114" i="51"/>
  <c r="S114" i="51" s="1"/>
  <c r="T114" i="51" s="1"/>
  <c r="R128" i="51"/>
  <c r="S128" i="51"/>
  <c r="T128" i="51" s="1"/>
  <c r="S2" i="51"/>
  <c r="T2" i="51" s="1"/>
  <c r="R2" i="51"/>
  <c r="R34" i="51"/>
  <c r="S34" i="51" s="1"/>
  <c r="T34" i="51" s="1"/>
  <c r="R4" i="51"/>
  <c r="S4" i="51" s="1"/>
  <c r="T4" i="51" s="1"/>
  <c r="R36" i="51"/>
  <c r="S36" i="51" s="1"/>
  <c r="T36" i="51" s="1"/>
  <c r="R71" i="51"/>
  <c r="S71" i="51" s="1"/>
  <c r="T71" i="51" s="1"/>
  <c r="R110" i="51"/>
  <c r="S110" i="51"/>
  <c r="T110" i="51" s="1"/>
  <c r="R31" i="51"/>
  <c r="S31" i="51"/>
  <c r="T31" i="51" s="1"/>
  <c r="S48" i="51"/>
  <c r="T48" i="51" s="1"/>
  <c r="R65" i="51"/>
  <c r="S65" i="51" s="1"/>
  <c r="T65" i="51" s="1"/>
  <c r="R103" i="51"/>
  <c r="S103" i="51" s="1"/>
  <c r="T103" i="51" s="1"/>
  <c r="S14" i="51"/>
  <c r="T14" i="51" s="1"/>
  <c r="R14" i="51"/>
  <c r="R8" i="51"/>
  <c r="S8" i="51"/>
  <c r="T8" i="51" s="1"/>
  <c r="S9" i="51"/>
  <c r="T9" i="51" s="1"/>
  <c r="R9" i="51"/>
  <c r="R17" i="51"/>
  <c r="S17" i="51"/>
  <c r="T17" i="51" s="1"/>
  <c r="R33" i="51"/>
  <c r="S33" i="51" s="1"/>
  <c r="T33" i="51" s="1"/>
  <c r="R45" i="51"/>
  <c r="S45" i="51"/>
  <c r="T45" i="51" s="1"/>
  <c r="R51" i="51"/>
  <c r="S51" i="51" s="1"/>
  <c r="T51" i="51" s="1"/>
  <c r="R63" i="51"/>
  <c r="S63" i="51"/>
  <c r="T63" i="51" s="1"/>
  <c r="S74" i="51"/>
  <c r="T74" i="51" s="1"/>
  <c r="R74" i="51"/>
  <c r="R86" i="51"/>
  <c r="S86" i="51" s="1"/>
  <c r="T86" i="51" s="1"/>
  <c r="R99" i="51"/>
  <c r="S99" i="51"/>
  <c r="T99" i="51" s="1"/>
  <c r="R107" i="51"/>
  <c r="S107" i="51" s="1"/>
  <c r="T107" i="51" s="1"/>
  <c r="R115" i="51"/>
  <c r="S115" i="51" s="1"/>
  <c r="T115" i="51" s="1"/>
  <c r="R129" i="51"/>
  <c r="S129" i="51"/>
  <c r="T129" i="51" s="1"/>
  <c r="R28" i="51"/>
  <c r="R44" i="51"/>
  <c r="S44" i="51" s="1"/>
  <c r="T44" i="51" s="1"/>
  <c r="R60" i="51"/>
  <c r="R76" i="51"/>
  <c r="S76" i="51" s="1"/>
  <c r="T76" i="51" s="1"/>
  <c r="S85" i="51"/>
  <c r="T85" i="51" s="1"/>
  <c r="S89" i="51"/>
  <c r="T89" i="51" s="1"/>
  <c r="S93" i="51"/>
  <c r="T93" i="51" s="1"/>
  <c r="S97" i="51"/>
  <c r="T97" i="51" s="1"/>
  <c r="S121" i="51"/>
  <c r="T121" i="51" s="1"/>
  <c r="R48" i="51"/>
  <c r="R64" i="51"/>
  <c r="R80" i="51"/>
  <c r="S80" i="51" s="1"/>
  <c r="T80" i="51" s="1"/>
  <c r="S122" i="51"/>
  <c r="T122" i="51" s="1"/>
  <c r="S125" i="51"/>
  <c r="T125" i="51" s="1"/>
  <c r="R32" i="51"/>
  <c r="S32" i="51" s="1"/>
  <c r="T32" i="51" s="1"/>
  <c r="S126" i="51"/>
  <c r="T126" i="51" s="1"/>
  <c r="S130" i="51"/>
  <c r="T130" i="51" s="1"/>
  <c r="E112" i="52" l="1"/>
  <c r="E114" i="52"/>
  <c r="E125" i="52"/>
  <c r="E124" i="52"/>
  <c r="E123" i="52"/>
  <c r="E121" i="52"/>
  <c r="E122" i="52"/>
  <c r="E117" i="52"/>
  <c r="E119" i="52" s="1"/>
  <c r="E105" i="52"/>
  <c r="Q22" i="52"/>
  <c r="Q21" i="52"/>
  <c r="E118" i="52" l="1"/>
  <c r="E116" i="52"/>
  <c r="P61" i="52"/>
  <c r="P62" i="52" s="1"/>
  <c r="O61" i="52"/>
  <c r="O62" i="52" s="1"/>
  <c r="N61" i="52"/>
  <c r="N62" i="52" s="1"/>
  <c r="M61" i="52"/>
  <c r="M62" i="52" s="1"/>
  <c r="L61" i="52"/>
  <c r="L62" i="52" s="1"/>
  <c r="K61" i="52"/>
  <c r="K62" i="52" s="1"/>
  <c r="J61" i="52"/>
  <c r="J62" i="52" s="1"/>
  <c r="I61" i="52"/>
  <c r="I62" i="52" s="1"/>
  <c r="H61" i="52"/>
  <c r="H62" i="52" s="1"/>
  <c r="G61" i="52"/>
  <c r="G62" i="52" s="1"/>
  <c r="F61" i="52"/>
  <c r="E39" i="52"/>
  <c r="Q39" i="52" s="1"/>
  <c r="E38" i="52"/>
  <c r="Q38" i="52" s="1"/>
  <c r="E37" i="52"/>
  <c r="Q37" i="52" s="1"/>
  <c r="E36" i="52"/>
  <c r="Q36" i="52" s="1"/>
  <c r="E35" i="52"/>
  <c r="Q35" i="52" s="1"/>
  <c r="E34" i="52"/>
  <c r="Q34" i="52" s="1"/>
  <c r="E33" i="52"/>
  <c r="Q33" i="52" s="1"/>
  <c r="E32" i="52"/>
  <c r="Q32" i="52" s="1"/>
  <c r="E31" i="52"/>
  <c r="Q31" i="52" s="1"/>
  <c r="E30" i="52"/>
  <c r="Q30" i="52" s="1"/>
  <c r="E29" i="52"/>
  <c r="Q29" i="52" s="1"/>
  <c r="E28" i="52"/>
  <c r="Q28" i="52" s="1"/>
  <c r="E27" i="52"/>
  <c r="Q27" i="52" s="1"/>
  <c r="E26" i="52"/>
  <c r="Q26" i="52" s="1"/>
  <c r="E25" i="52"/>
  <c r="Q25" i="52" s="1"/>
  <c r="E24" i="52"/>
  <c r="Q24" i="52" s="1"/>
  <c r="E23" i="52"/>
  <c r="Q23" i="52" s="1"/>
  <c r="E22" i="52"/>
  <c r="E21" i="52"/>
  <c r="E19" i="52"/>
  <c r="E18" i="52"/>
  <c r="E17" i="52"/>
  <c r="E16" i="52"/>
  <c r="E15" i="52"/>
  <c r="E14" i="52"/>
  <c r="E13" i="52"/>
  <c r="E12" i="52"/>
  <c r="E11" i="52"/>
  <c r="E10" i="52"/>
  <c r="E9" i="52"/>
  <c r="E8" i="52"/>
  <c r="E64" i="52"/>
  <c r="E63" i="52" l="1"/>
  <c r="E82" i="52" s="1"/>
  <c r="E85" i="52"/>
  <c r="E79" i="52"/>
  <c r="E73" i="52"/>
  <c r="E81" i="52"/>
  <c r="E66" i="52"/>
  <c r="E80" i="52"/>
  <c r="E61" i="52"/>
  <c r="F62" i="52"/>
  <c r="E62" i="52" s="1"/>
  <c r="E83" i="52" l="1"/>
  <c r="E67" i="52"/>
  <c r="E69" i="52" s="1"/>
  <c r="E77" i="52"/>
  <c r="E75" i="52" s="1"/>
  <c r="D23" i="30"/>
  <c r="D22" i="30"/>
  <c r="D21" i="30"/>
  <c r="D20" i="30"/>
  <c r="D19" i="30"/>
  <c r="D18" i="30"/>
  <c r="D17" i="30"/>
  <c r="D16" i="30"/>
  <c r="D15" i="30"/>
  <c r="E23" i="30"/>
  <c r="E22" i="30"/>
  <c r="E21" i="30"/>
  <c r="F21" i="30" s="1"/>
  <c r="E20" i="30"/>
  <c r="F20" i="30" s="1"/>
  <c r="E19" i="30"/>
  <c r="E18" i="30"/>
  <c r="E17" i="30"/>
  <c r="E16" i="30"/>
  <c r="E15" i="30"/>
  <c r="F19" i="30"/>
  <c r="I23" i="30"/>
  <c r="I22" i="30"/>
  <c r="I21" i="30"/>
  <c r="I20" i="30"/>
  <c r="I19" i="30"/>
  <c r="I18" i="30"/>
  <c r="I17" i="30"/>
  <c r="I16" i="30"/>
  <c r="I15" i="30"/>
  <c r="G24" i="30"/>
  <c r="H24" i="30"/>
  <c r="B24" i="30"/>
  <c r="G12" i="30"/>
  <c r="B12" i="30"/>
  <c r="G11" i="30"/>
  <c r="C11" i="30"/>
  <c r="B11" i="30"/>
  <c r="G10" i="30"/>
  <c r="B10" i="30"/>
  <c r="N2" i="34"/>
  <c r="C2" i="34"/>
  <c r="F23" i="30" l="1"/>
  <c r="F22" i="30"/>
  <c r="E24" i="30"/>
  <c r="E36" i="30" s="1"/>
  <c r="F16" i="30"/>
  <c r="F17" i="30"/>
  <c r="I24" i="30"/>
  <c r="E70" i="52"/>
  <c r="E71" i="52"/>
  <c r="E74" i="52"/>
  <c r="E72" i="52"/>
  <c r="D24" i="30"/>
  <c r="E34" i="30" s="1"/>
  <c r="F34" i="30" s="1"/>
  <c r="F18" i="30"/>
  <c r="F15" i="30"/>
  <c r="F24" i="30" l="1"/>
  <c r="G12" i="50" l="1"/>
  <c r="B12" i="50"/>
  <c r="G11" i="50"/>
  <c r="C11" i="50"/>
  <c r="B11" i="50"/>
  <c r="G10" i="50"/>
  <c r="B10" i="50"/>
  <c r="H13" i="49" l="1"/>
  <c r="G13" i="49"/>
  <c r="C13" i="49"/>
  <c r="E12" i="49"/>
  <c r="D12" i="49"/>
  <c r="D11" i="49"/>
  <c r="E11" i="49" s="1"/>
  <c r="D10" i="49"/>
  <c r="E10" i="49" s="1"/>
  <c r="D9" i="49"/>
  <c r="E9" i="49" s="1"/>
  <c r="E8" i="49"/>
  <c r="D8" i="49"/>
  <c r="D7" i="49"/>
  <c r="D13" i="49" s="1"/>
  <c r="F4" i="49"/>
  <c r="C4" i="49"/>
  <c r="D3" i="49"/>
  <c r="E3" i="49" s="1"/>
  <c r="D2" i="49"/>
  <c r="E2" i="49" s="1"/>
  <c r="E4" i="49" s="1"/>
  <c r="E13" i="49" l="1"/>
  <c r="E15" i="49" s="1"/>
  <c r="E7" i="49"/>
  <c r="E41" i="38" l="1"/>
  <c r="F41" i="38" s="1"/>
  <c r="G41" i="38" s="1"/>
  <c r="E39" i="38"/>
  <c r="F39" i="38" s="1"/>
  <c r="G39" i="38" s="1"/>
  <c r="E38" i="38"/>
  <c r="F38" i="38" s="1"/>
  <c r="G38" i="38" s="1"/>
  <c r="E37" i="38"/>
  <c r="F37" i="38" s="1"/>
  <c r="G37" i="38" s="1"/>
  <c r="E36" i="38"/>
  <c r="F36" i="38" s="1"/>
  <c r="G36" i="38" s="1"/>
  <c r="E11" i="38"/>
  <c r="F11" i="38" s="1"/>
  <c r="G11" i="38" s="1"/>
  <c r="E9" i="38"/>
  <c r="F9" i="38" s="1"/>
  <c r="G9" i="38" s="1"/>
  <c r="E8" i="38"/>
  <c r="F8" i="38" s="1"/>
  <c r="G8" i="38" s="1"/>
  <c r="E7" i="38"/>
  <c r="F7" i="38" s="1"/>
  <c r="G7" i="38" s="1"/>
  <c r="E6" i="38"/>
  <c r="F6" i="38" s="1"/>
  <c r="G6" i="38" s="1"/>
  <c r="K12" i="37" l="1"/>
  <c r="L11" i="37"/>
  <c r="F11" i="37"/>
  <c r="L10" i="37"/>
  <c r="F10" i="37"/>
  <c r="L9" i="37"/>
  <c r="F9" i="37"/>
  <c r="L8" i="37"/>
  <c r="F8" i="37"/>
  <c r="L7" i="37"/>
  <c r="F7" i="37"/>
  <c r="L6" i="37"/>
  <c r="D12" i="37"/>
  <c r="D13" i="37" s="1"/>
  <c r="L5" i="37"/>
  <c r="F5" i="37"/>
  <c r="L4" i="37"/>
  <c r="F4" i="37"/>
  <c r="H4" i="37" s="1"/>
  <c r="I4" i="37" s="1"/>
  <c r="F3" i="37"/>
  <c r="L2" i="37"/>
  <c r="F2" i="37"/>
  <c r="J12" i="37" l="1"/>
  <c r="I8" i="37"/>
  <c r="F6" i="37"/>
  <c r="H3" i="37"/>
  <c r="I3" i="37" s="1"/>
  <c r="H8" i="37"/>
  <c r="H10" i="37"/>
  <c r="I10" i="37" s="1"/>
  <c r="H2" i="37"/>
  <c r="I2" i="37" s="1"/>
  <c r="H5" i="37"/>
  <c r="I5" i="37" s="1"/>
  <c r="H7" i="37"/>
  <c r="I7" i="37" s="1"/>
  <c r="H9" i="37"/>
  <c r="I9" i="37" s="1"/>
  <c r="H11" i="37"/>
  <c r="I11" i="37" s="1"/>
  <c r="L3" i="37"/>
  <c r="L12" i="37" s="1"/>
  <c r="H6" i="37" l="1"/>
  <c r="I6" i="37" s="1"/>
  <c r="I12" i="37" s="1"/>
  <c r="F12" i="37"/>
  <c r="F13" i="37" s="1"/>
  <c r="H12" i="37" l="1"/>
  <c r="B5" i="34" l="1"/>
  <c r="B52" i="30" l="1"/>
  <c r="G38" i="30" l="1"/>
  <c r="G30" i="30" s="1"/>
  <c r="G28" i="30" s="1"/>
  <c r="G34" i="30" l="1"/>
  <c r="G36" i="30" l="1"/>
</calcChain>
</file>

<file path=xl/sharedStrings.xml><?xml version="1.0" encoding="utf-8"?>
<sst xmlns="http://schemas.openxmlformats.org/spreadsheetml/2006/main" count="1376" uniqueCount="604">
  <si>
    <t>szerelési anyagok</t>
  </si>
  <si>
    <t>telefonszám</t>
  </si>
  <si>
    <t>e-mail</t>
  </si>
  <si>
    <t>mennyiség</t>
  </si>
  <si>
    <t>Összesen</t>
  </si>
  <si>
    <t>ÁFA</t>
  </si>
  <si>
    <t>Banai Viktor</t>
  </si>
  <si>
    <t>Kedvezmény</t>
  </si>
  <si>
    <t xml:space="preserve">Az árajánlat nem foglalja magába az előkészítéshez szükséges villanyszerelési munkát. Ilyenek lehetnek pl. a termosztát helyének </t>
  </si>
  <si>
    <t xml:space="preserve">előkészítése, 230V táp ellátás előkészítése, beleértve a vezetékezést és csövezést. </t>
  </si>
  <si>
    <t>fürdőszoba</t>
  </si>
  <si>
    <t>wc</t>
  </si>
  <si>
    <t>db</t>
  </si>
  <si>
    <t>nappali</t>
  </si>
  <si>
    <t>konyha</t>
  </si>
  <si>
    <t>kamra</t>
  </si>
  <si>
    <t>előszoba</t>
  </si>
  <si>
    <t>m</t>
  </si>
  <si>
    <t>munka</t>
  </si>
  <si>
    <t>A villanyszerelő kollégával a kapcsolatot már a villamos hálózat előkészítése előtt érdemes felvennünk.</t>
  </si>
  <si>
    <t>szoba</t>
  </si>
  <si>
    <t>közlekedő</t>
  </si>
  <si>
    <t>bruttó</t>
  </si>
  <si>
    <t>nettó</t>
  </si>
  <si>
    <t>ÁRAJÁNLAT</t>
  </si>
  <si>
    <t>összesen</t>
  </si>
  <si>
    <t>Victorie Conseil Kft. 14749588-2-43</t>
  </si>
  <si>
    <t>teljesítmény</t>
  </si>
  <si>
    <t>Munkadíj</t>
  </si>
  <si>
    <t>anyag</t>
  </si>
  <si>
    <t>sq</t>
  </si>
  <si>
    <t>ügyfél id</t>
  </si>
  <si>
    <t>file</t>
  </si>
  <si>
    <t>telefon</t>
  </si>
  <si>
    <t>ajánlat ID</t>
  </si>
  <si>
    <t>megjegyzés kiv</t>
  </si>
  <si>
    <t>megjegyzés sales</t>
  </si>
  <si>
    <t>ügyfél státusz</t>
  </si>
  <si>
    <t>Ügyfél info</t>
  </si>
  <si>
    <t>Megjegyzés</t>
  </si>
  <si>
    <t>státusz</t>
  </si>
  <si>
    <t>Teendő</t>
  </si>
  <si>
    <t>Teendő dátuma</t>
  </si>
  <si>
    <t>Időpontfoglalás:</t>
  </si>
  <si>
    <t>A foglaló nem jár vissza, akkor sem, ha Ön időközben eláll a kivitelezéstől.</t>
  </si>
  <si>
    <t>A mindenkori makrogazdasági helyzetnek megfelelően fenntartjuk a jogot, hogy árajánlatunkat frissítsük az érvényességi idő lejárata után.</t>
  </si>
  <si>
    <t xml:space="preserve">Amennyiben Ön szeretné, hogy a mindenkori kapacitásaink mellett előre soroljuk házának kivitelezését, </t>
  </si>
  <si>
    <t>megteheti a kivitelezési díj 10%-ának mértékében foglaló átutalásával.</t>
  </si>
  <si>
    <t>megnevezés</t>
  </si>
  <si>
    <t>listaár nettó</t>
  </si>
  <si>
    <t>listaár bruttó</t>
  </si>
  <si>
    <t>kedvezmény %</t>
  </si>
  <si>
    <t>kedvezmény</t>
  </si>
  <si>
    <t>Fogyasztói ár</t>
  </si>
  <si>
    <t>számlázva</t>
  </si>
  <si>
    <t>kifizetve</t>
  </si>
  <si>
    <t>tartozás</t>
  </si>
  <si>
    <t>I. ütem</t>
  </si>
  <si>
    <t>álmennyezet</t>
  </si>
  <si>
    <t>kiszállás</t>
  </si>
  <si>
    <t>II. ütem</t>
  </si>
  <si>
    <t>padló, infra</t>
  </si>
  <si>
    <t>tervezett</t>
  </si>
  <si>
    <t>III. ütem</t>
  </si>
  <si>
    <t>padló, fűtőszőnyeg</t>
  </si>
  <si>
    <t>IV. ütem</t>
  </si>
  <si>
    <t>termosztátok</t>
  </si>
  <si>
    <t>kiszállás nélkül</t>
  </si>
  <si>
    <t>MÉRÉSI JEGYZŐKÖNYV</t>
  </si>
  <si>
    <t>Cím:</t>
  </si>
  <si>
    <t>Helyiség megnevezése</t>
  </si>
  <si>
    <t>Fűtőeszköz típusa</t>
  </si>
  <si>
    <r>
      <t>Fűtőeszköz mérete 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</si>
  <si>
    <t>Fajlagos teljesítmény W</t>
  </si>
  <si>
    <t>Összes teljesítmény kW</t>
  </si>
  <si>
    <t>Terhelés (amper)</t>
  </si>
  <si>
    <t>Névleges ellenállás</t>
  </si>
  <si>
    <t>Tényleges ellenállás</t>
  </si>
  <si>
    <t>Szigetelési ellenállás L-PE</t>
  </si>
  <si>
    <t>Szigetelési ellenállás N-PE</t>
  </si>
  <si>
    <t>Dátum:</t>
  </si>
  <si>
    <t>Victorie Conseil Kft.</t>
  </si>
  <si>
    <t>Kivitelezési vezető</t>
  </si>
  <si>
    <t>tétel</t>
  </si>
  <si>
    <t xml:space="preserve">Az árajánlat érvényessége: </t>
  </si>
  <si>
    <t>anyag, eszköz</t>
  </si>
  <si>
    <t>ÁFA kulcs</t>
  </si>
  <si>
    <t>Staféta</t>
  </si>
  <si>
    <t>kültér</t>
  </si>
  <si>
    <t>Ügyfél</t>
  </si>
  <si>
    <t>Kapcsolattartó</t>
  </si>
  <si>
    <t>ügyfél azonosító, ügyfél neve</t>
  </si>
  <si>
    <t xml:space="preserve">kapcsolattartó </t>
  </si>
  <si>
    <t>árajánlat azonosító</t>
  </si>
  <si>
    <t>telepítés címe</t>
  </si>
  <si>
    <t>n</t>
  </si>
  <si>
    <t>info@hena.hu</t>
  </si>
  <si>
    <t>verification</t>
  </si>
  <si>
    <t>Fogyasztói ár összetétele</t>
  </si>
  <si>
    <t>Anyag ár</t>
  </si>
  <si>
    <t>Áfa</t>
  </si>
  <si>
    <t>Összesen:</t>
  </si>
  <si>
    <t>elektromos</t>
  </si>
  <si>
    <t>Hőszivattyú telepítés</t>
  </si>
  <si>
    <t>Elektromos bekötés</t>
  </si>
  <si>
    <t>vizes</t>
  </si>
  <si>
    <t>Konzol</t>
  </si>
  <si>
    <t>Iszap leválasztó</t>
  </si>
  <si>
    <t>Csövek (10 m)</t>
  </si>
  <si>
    <t>Idomok (20 db)</t>
  </si>
  <si>
    <t>3 járatú szelep</t>
  </si>
  <si>
    <t>Esbe szelep</t>
  </si>
  <si>
    <t>Anyagár+munkadíj összesen:</t>
  </si>
  <si>
    <t>Martinás-Seprényi Zsuzsanna</t>
  </si>
  <si>
    <t>+36317829232</t>
  </si>
  <si>
    <t>zsuzska.seprenyi@gmail.com</t>
  </si>
  <si>
    <t>infra</t>
  </si>
  <si>
    <t xml:space="preserve">Kedves Viktor,
Egy barátunk ajánlotta, hogy téged keressünk elektromos padlófűtéssel kapcsolatban.
Június végén tervezünk beköltözni az új otthonunkba ahol jelenleg is elektromos fűtés van, de szeretném lecserélni a fűtőpaneleket padlófűtésre amire laminált vagy vinyl padlóburkolat kerül egységesen az egész lakásba (kivéve a fürdőt). A padlófűtés lenne a fő fűtés, de tervezünk még egy kandallót a nappaliba kiegészítésként.
Tudna nekünk segíteni, hogy a milyen lehetőségeink vannak és kb mennyibe kerülne kiépíteni a rendszert?
Csatolva küldök egy alaprajzot és egy energetikai tanusítványt.
Köszönöm!
Üdv
Martinás-Seprényi Zsuzsanna
</t>
  </si>
  <si>
    <t>felmérés</t>
  </si>
  <si>
    <t>google</t>
  </si>
  <si>
    <t>XXII. Kerület</t>
  </si>
  <si>
    <t>MŰ III 100x100 doboz fedéllel MŰDK [05510308]</t>
  </si>
  <si>
    <t>MŰ 65 sorol.doboz csavarral D6080/2 egyénileg sorolható [05510086]</t>
  </si>
  <si>
    <t>MŰ 70-es doboz sorolható ASD70 [05510306]</t>
  </si>
  <si>
    <t>ETI kismeg.elosztó 24 mod sülly 1101012 [01990989]</t>
  </si>
  <si>
    <t>Gégecső 16 mm /13,5/ műa. (100m) szürke [05510103]</t>
  </si>
  <si>
    <t>MBCu 3x1,5 kábel (N)YM-J 100ms [93171861]</t>
  </si>
  <si>
    <t>MBCu 3x2,5 kábel (N)YM-J 100ms [93171961]</t>
  </si>
  <si>
    <t>ETIMAT6 C13A 1p. Kismegszakitó 2141515 [85000672]</t>
  </si>
  <si>
    <t>Áramvédőkapcsoló (fi-relé) 4P 25A 30MA, 6kA, AC típusú</t>
  </si>
  <si>
    <t>ÖSSZESEN</t>
  </si>
  <si>
    <t>mennyiségi egység</t>
  </si>
  <si>
    <t>anyag nettó ár</t>
  </si>
  <si>
    <t>szolgáltatás nettó ár</t>
  </si>
  <si>
    <t>anyag bruttó ár</t>
  </si>
  <si>
    <t>szolgáltatás bruttó ár</t>
  </si>
  <si>
    <t>nettó ár ÖSSZESEN</t>
  </si>
  <si>
    <t>bruttó ár ÖSSZESEN</t>
  </si>
  <si>
    <t>árajánlat_6154_E22-0704-001_Martinás-Seprényi Zsuzsa</t>
  </si>
  <si>
    <t>E22-0704-001</t>
  </si>
  <si>
    <t>tétel id</t>
  </si>
  <si>
    <t>tétel csoport id</t>
  </si>
  <si>
    <t>leírás</t>
  </si>
  <si>
    <t>link</t>
  </si>
  <si>
    <t>ár frissítés</t>
  </si>
  <si>
    <t>falazat</t>
  </si>
  <si>
    <t>Szállító</t>
  </si>
  <si>
    <t>Standard ajánlathoz kiválaszt</t>
  </si>
  <si>
    <t>Beszerzési lista egységár BR</t>
  </si>
  <si>
    <t>Mértékegység</t>
  </si>
  <si>
    <t>Kapott kedvezmény</t>
  </si>
  <si>
    <t>Beszerzési Kedvezényes egységár BR</t>
  </si>
  <si>
    <t>Beszerzési Kedvezényes egységár NT</t>
  </si>
  <si>
    <t>Árkorrekció</t>
  </si>
  <si>
    <t>Ügyfél nettó lista egységár</t>
  </si>
  <si>
    <t>Ügyfél kedvezmény egység</t>
  </si>
  <si>
    <t>Kedvezmény egység</t>
  </si>
  <si>
    <t>Kedvezményes nettó egységár</t>
  </si>
  <si>
    <t>Fogyasztói egységár</t>
  </si>
  <si>
    <t>dob</t>
  </si>
  <si>
    <t>100x100 doboz vakolt fedéllel</t>
  </si>
  <si>
    <t>http://stafeta.hu/webshop/szerelesi-anyagok/csovek-csatornak-dobozok/sullyesztett-dobozok</t>
  </si>
  <si>
    <t>vakolt</t>
  </si>
  <si>
    <t>115x115 doboz gipszkarton</t>
  </si>
  <si>
    <t>Kopos KO110/L 115x115 gipsz.doboz [05012444]</t>
  </si>
  <si>
    <t>http://stafeta.hu/webshop/szerelesi-anyagok/csovek-csatornak-dobozok/gipszkarton-dobozok</t>
  </si>
  <si>
    <t>gipszkarton</t>
  </si>
  <si>
    <t>68 mm2 doboz gipszartonba 1</t>
  </si>
  <si>
    <t>MŰ 60 gipszkarton doboz D6021 STI1012 [05510089]</t>
  </si>
  <si>
    <t>65 mm2 doboz vakolt</t>
  </si>
  <si>
    <t>70 mm2 doboz vakolt</t>
  </si>
  <si>
    <t>dok</t>
  </si>
  <si>
    <t>FMV nyilatkozat</t>
  </si>
  <si>
    <t>elo</t>
  </si>
  <si>
    <t>elosztó szekrény 24 modul</t>
  </si>
  <si>
    <t>http://stafeta.hu/webshop/szerelesi-anyagok/szekrenyek-lakaselosztok-es-tartozekaik/eti-muanyag-lakaselosztok</t>
  </si>
  <si>
    <t>all</t>
  </si>
  <si>
    <t>elosztó szekrény 36 modul</t>
  </si>
  <si>
    <t>ETI kismeg.elosztó 36 mod sülly 1101013 [01990990]</t>
  </si>
  <si>
    <t>elosztó szekrény 48 modul</t>
  </si>
  <si>
    <t>2 db ETI kismeg.elosztó 24 mod sülly 1101012 [01990989]</t>
  </si>
  <si>
    <t>elosztó szekrény 72 modul</t>
  </si>
  <si>
    <t>2 db ETI kismeg.elosztó 36 mod sülly 1101013 [01990990]</t>
  </si>
  <si>
    <t>eph</t>
  </si>
  <si>
    <t>EPH bilincs</t>
  </si>
  <si>
    <t>FSZ2/EBS4 Földelő szalag 428mm 1/8-4" POL2020425/FTG902NI [89010047]</t>
  </si>
  <si>
    <t>http://stafeta.hu/webshop/villamvedelem/eph-bilincs-es-kapocs</t>
  </si>
  <si>
    <t>ffs</t>
  </si>
  <si>
    <t>fázis fésű 3P</t>
  </si>
  <si>
    <t>Fésüs sín 3p.63A 1m THP-140/LIF3P63 [88010412]</t>
  </si>
  <si>
    <t>http://stafeta.hu/webshop/szerelesi-anyagok/szekrenyek-lakaselosztok-es-tartozekaik/foldelo-es-fesus-sinek</t>
  </si>
  <si>
    <t>fvcs</t>
  </si>
  <si>
    <t>fővezeték csatlakozó 16 mm2</t>
  </si>
  <si>
    <t>Nullkapocs 12x16mm2 kék2020229/870N12FS [03820002]</t>
  </si>
  <si>
    <t>http://stafeta.hu/webshop/szerelesi-anyagok/szekrenyek-lakaselosztok-es-tartozekaik/hensel-tartozekok</t>
  </si>
  <si>
    <t>kbl</t>
  </si>
  <si>
    <t>földkábel 4x10</t>
  </si>
  <si>
    <t>NYY-J 4x10 kábel /drum 500m-es/ [93492508]</t>
  </si>
  <si>
    <t>http://stafeta.hu/webshop/vezetekek-es-kabelek/pvc-szigetelesu-erosaramu-foldkabelek-0-6-1kv/nyy-0-6-1-kv-kisfeszultsegu-eroatviteli-kabel</t>
  </si>
  <si>
    <t>földkábel 4x6</t>
  </si>
  <si>
    <t>NYY-J 4x6 kábel /drum 500m-es/ [93492458]</t>
  </si>
  <si>
    <t>KOAX RG6 3U</t>
  </si>
  <si>
    <t>RG 6U CA 3 x árny.réz fehér koax 100m-es [93684038]</t>
  </si>
  <si>
    <t>http://stafeta.hu/webshop/vezetekek-es-kabelek/koax-kabelek-es-csatlakozok/rg-koax-kabelek/rg-6u-ca-3-x-arny-rez-feher-koax-100m-es</t>
  </si>
  <si>
    <t>MBCU 3x1,5</t>
  </si>
  <si>
    <t>http://stafeta.hu/webshop/vezetekek-es-kabelek/pvc-szigetelesu-kabelek/nym-pvc-szigetelesu-merev-kiskabel</t>
  </si>
  <si>
    <t>MBCU 5x2,5</t>
  </si>
  <si>
    <t>MBCu 5x2,5 kábel /NYM-J/ 500ms drum [93172711]</t>
  </si>
  <si>
    <t>UTP</t>
  </si>
  <si>
    <t>UTP 4x2xAWG23 CAT6 szám.gép RÉZ 305m [93820004]</t>
  </si>
  <si>
    <t>http://stafeta.hu/webshop/vezetekek-es-kabelek/szamitogep-kabelek-es-csatlakozok/utp-ftp-lan-kabelek/utp-4x2xawg23-cat6-szam-gep-rez-305m</t>
  </si>
  <si>
    <t>kmó</t>
  </si>
  <si>
    <t>kismegszakító C13</t>
  </si>
  <si>
    <t>http://stafeta.hu/webshop/kisfeszultsegu-keszulekek/eti/eti-kismegszakitok</t>
  </si>
  <si>
    <t>kismegszakító C20</t>
  </si>
  <si>
    <t>ETIMAT6 C20A 1p. Kismegszakitó 2141517 [85000653]</t>
  </si>
  <si>
    <t>kpc</t>
  </si>
  <si>
    <t>tűzeseti főkapcsoló</t>
  </si>
  <si>
    <t>mcs</t>
  </si>
  <si>
    <t>MŰ III. cső 23,5</t>
  </si>
  <si>
    <t>MŰ III 23-as vékonyfalu védőcső [05510205]</t>
  </si>
  <si>
    <t>http://stafeta.hu/webshop/szerelesi-anyagok/csovek-csatornak-dobozok/mu-iii-cso</t>
  </si>
  <si>
    <t>rel</t>
  </si>
  <si>
    <t>fi-relé (30 mA, 1 fázisú) 40A</t>
  </si>
  <si>
    <t>ETI EFI-2A 40A/30mA 2p.Áramvédők. EFI-P2 A 4060.03 002061112 [85000504]</t>
  </si>
  <si>
    <t>http://stafeta.hu/webshop/kisfeszultsegu-keszulekek/eti/eti-hibaaram-vedokapcsolok</t>
  </si>
  <si>
    <t>fi-relé (30 mA, 3 fázisú) 25A</t>
  </si>
  <si>
    <t>Áramvédőkapcsoló (fí-relé) 4P 25A 30MA, 6kA, AC típusú</t>
  </si>
  <si>
    <t>szda</t>
  </si>
  <si>
    <t>földelő szonda</t>
  </si>
  <si>
    <t>Keresztföldelő 1,5 m zászlós [85030106]</t>
  </si>
  <si>
    <t>http://stafeta.hu/webshop/villamvedelem/foldelo-szondak/keresztfoldelo-1-5-m-zaszlos</t>
  </si>
  <si>
    <t>szra</t>
  </si>
  <si>
    <t>guman sapka</t>
  </si>
  <si>
    <t>Guman sapka 2'-os TB-2 [05510427]</t>
  </si>
  <si>
    <t>http://stafeta.hu/webshop/szerelesi-anyagok/szekrenyek-lakaselosztok-es-tartozekaik/szekreny-tartozekok-es-allvanyok/guman-sapka-2-5-os-tb-2-5</t>
  </si>
  <si>
    <t>horganyzott sodrony</t>
  </si>
  <si>
    <r>
      <rPr>
        <sz val="11"/>
        <rFont val="Calibri"/>
        <family val="2"/>
        <charset val="238"/>
        <scheme val="minor"/>
      </rPr>
      <t xml:space="preserve">AASC 50 ötvözött alumínium sodrony [93743600], </t>
    </r>
    <r>
      <rPr>
        <sz val="11"/>
        <color rgb="FFFF0000"/>
        <rFont val="Calibri"/>
        <family val="2"/>
        <scheme val="minor"/>
      </rPr>
      <t>szerszám: feszítő csiga</t>
    </r>
  </si>
  <si>
    <t>http://stafeta.hu/webshop/vezetekek-es-kabelek/legkabelek-szabadvezetekek/aasc-aluminium-szabadvezetek-sodrony</t>
  </si>
  <si>
    <t>S Kampó 4x41 horganyzott HR4-40 [05025390]</t>
  </si>
  <si>
    <t>http://stafeta.hu/webshop/szerelesi-anyagok/egyeb-kellekanyagok/sodronykotel-es-szerelvenyei</t>
  </si>
  <si>
    <t>jelző szalag</t>
  </si>
  <si>
    <t>Kábeljelző szalag 100m-es kisz. KABJEL
KABJEL100E/0015100 [05602141]</t>
  </si>
  <si>
    <t>kötélszív</t>
  </si>
  <si>
    <t>Kötélsziv 5-6mm-es sodrathoz SZIV6 [05025379]</t>
  </si>
  <si>
    <t>vzt</t>
  </si>
  <si>
    <t>MCU 1,5</t>
  </si>
  <si>
    <t>H07V-U 1,5 fekete vezeték Mcu (100) [93000428]</t>
  </si>
  <si>
    <t>https://stafeta.hu/webshop/vezetekek-es-kabelek/pvc-szigetelesu-vezetekek/h07v-u-pvc-szigetelesu-merev-vezetek-450-750v</t>
  </si>
  <si>
    <t>MCU 2,5</t>
  </si>
  <si>
    <t>H07V-U 2,5 fekete vezeték Mcu (100) [93000528]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</si>
  <si>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</si>
  <si>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</si>
  <si>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</si>
  <si>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</si>
  <si>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</si>
  <si>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</si>
  <si>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</si>
  <si>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</si>
  <si>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</si>
  <si>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</si>
  <si>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ELO SZEK</t>
  </si>
  <si>
    <t>led szalag (távvez) (db)</t>
  </si>
  <si>
    <t>nyomvonal (m)</t>
  </si>
  <si>
    <t>kapcsoló 101 (db)</t>
  </si>
  <si>
    <t>kapcsoló 102 (db)</t>
  </si>
  <si>
    <t>kapcsoló 106 (db)</t>
  </si>
  <si>
    <t>kapcsoló 107 (db)</t>
  </si>
  <si>
    <t>kerti lámpa (db)</t>
  </si>
  <si>
    <t>fali lámpák (db)</t>
  </si>
  <si>
    <t>mennyezeti lámpák  (db)</t>
  </si>
  <si>
    <t>belmagasság (m)</t>
  </si>
  <si>
    <t>elo táv (m)</t>
  </si>
  <si>
    <t>alapterület (m2)</t>
  </si>
  <si>
    <t>Földelő szonda távolsága az elosztó szekrénytől (m)</t>
  </si>
  <si>
    <t>Földkábelezés nyomvonal hossza (m)</t>
  </si>
  <si>
    <t>Légkábelezés fesztávja (m)</t>
  </si>
  <si>
    <t>TV (db)</t>
  </si>
  <si>
    <t>internet modem (db)</t>
  </si>
  <si>
    <t>nyitásérzékelő (ablakok, ajtó) (db)</t>
  </si>
  <si>
    <t>mozgásérzékelő (db)</t>
  </si>
  <si>
    <t>EPH hossz összesen (m)</t>
  </si>
  <si>
    <t>vezérelt ("éjszakai") áram 1P (db)</t>
  </si>
  <si>
    <t>Telepítés</t>
  </si>
  <si>
    <t>Fogyasztásmérő szekrény szabványosítás</t>
  </si>
  <si>
    <t>Teljesítmény bővítés</t>
  </si>
  <si>
    <t>adattípus</t>
  </si>
  <si>
    <t>helyiség adatok</t>
  </si>
  <si>
    <t>fogyasztásmérő</t>
  </si>
  <si>
    <t>elosztó szekrény kivitel (süllyesztett, falon kívüli)</t>
  </si>
  <si>
    <t>áramkör (db)</t>
  </si>
  <si>
    <t>input</t>
  </si>
  <si>
    <t>helyiség gyengeáram</t>
  </si>
  <si>
    <t>helyiség alap</t>
  </si>
  <si>
    <t>elosztó szekrény</t>
  </si>
  <si>
    <t>input számított</t>
  </si>
  <si>
    <t>adat megnevezés</t>
  </si>
  <si>
    <t>modul/id</t>
  </si>
  <si>
    <r>
      <t xml:space="preserve">68 mm2 doboz </t>
    </r>
    <r>
      <rPr>
        <sz val="11"/>
        <color rgb="FFFF0000"/>
        <rFont val="Calibri"/>
        <family val="2"/>
        <charset val="238"/>
        <scheme val="minor"/>
      </rPr>
      <t>gipszartonba</t>
    </r>
  </si>
  <si>
    <r>
      <t xml:space="preserve">115x115 doboz </t>
    </r>
    <r>
      <rPr>
        <sz val="11"/>
        <color rgb="FFFF0000"/>
        <rFont val="Calibri"/>
        <family val="2"/>
        <charset val="238"/>
        <scheme val="minor"/>
      </rPr>
      <t>gipszkarton</t>
    </r>
  </si>
  <si>
    <t>elektromos kazán 1 fázisú (db)</t>
  </si>
  <si>
    <t>elektromos kazán 3 fázisú (db)</t>
  </si>
  <si>
    <t>elektromos bojler (db)</t>
  </si>
  <si>
    <t>elektromos sütő 1 fázisú (db)</t>
  </si>
  <si>
    <t>elektromos sütő 3 fázisú (db)</t>
  </si>
  <si>
    <t>elektromos főzőlap (db)</t>
  </si>
  <si>
    <t>klíma (db)</t>
  </si>
  <si>
    <t>elektromos redőny (db)</t>
  </si>
  <si>
    <t>szauna 1P (db)</t>
  </si>
  <si>
    <t>szauna 3P (db)</t>
  </si>
  <si>
    <t>egyéb (db)</t>
  </si>
  <si>
    <t>vezérelt ("éjszakai") áram 3P (db)</t>
  </si>
  <si>
    <t>fogyasztás</t>
  </si>
  <si>
    <t>helyiség saját áramkörrel</t>
  </si>
  <si>
    <t>helyiség vegyes áramkörrel</t>
  </si>
  <si>
    <t>áramkör</t>
  </si>
  <si>
    <t>mosógép, szárítógép (db)</t>
  </si>
  <si>
    <t>elektromos fűtés (termosztátonként) (db)</t>
  </si>
  <si>
    <t>jakuzzi (db)</t>
  </si>
  <si>
    <t>fázis fésű 1P</t>
  </si>
  <si>
    <t>kismegszakító C32</t>
  </si>
  <si>
    <t>kismegszakító C16</t>
  </si>
  <si>
    <t>fi-relé (30 mA, 3 fázisú) 32A</t>
  </si>
  <si>
    <t>fi-relé (30 mA, 3 fázisú) 63A</t>
  </si>
  <si>
    <r>
      <t>fi-relé (</t>
    </r>
    <r>
      <rPr>
        <b/>
        <sz val="11"/>
        <color theme="1"/>
        <rFont val="Calibri"/>
        <family val="2"/>
        <charset val="238"/>
        <scheme val="minor"/>
      </rPr>
      <t>10</t>
    </r>
    <r>
      <rPr>
        <sz val="11"/>
        <color theme="1"/>
        <rFont val="Calibri"/>
        <family val="2"/>
        <scheme val="minor"/>
      </rPr>
      <t xml:space="preserve"> mA, 1 fázisú) 40A</t>
    </r>
  </si>
  <si>
    <t>horog</t>
  </si>
  <si>
    <t>földkábel 5x2,5</t>
  </si>
  <si>
    <t>földkábel 3x2,5</t>
  </si>
  <si>
    <t>csak szolgáltatások</t>
  </si>
  <si>
    <t>E-napló vezetés</t>
  </si>
  <si>
    <t>egyéb szerelési anyagok</t>
  </si>
  <si>
    <t>elosztó szekrény 18 modul</t>
  </si>
  <si>
    <t>Légkábel (db)</t>
  </si>
  <si>
    <t>szonda csatlakozó</t>
  </si>
  <si>
    <t>EPH szalag</t>
  </si>
  <si>
    <t>terhelés (A)</t>
  </si>
  <si>
    <t>fázisszám (db)</t>
  </si>
  <si>
    <t>modul szám (db)</t>
  </si>
  <si>
    <t>vezeték/kábel (m)</t>
  </si>
  <si>
    <t>helyiség megnevezése</t>
  </si>
  <si>
    <t>ebédlő</t>
  </si>
  <si>
    <t>kert</t>
  </si>
  <si>
    <t>beton</t>
  </si>
  <si>
    <t>H11</t>
  </si>
  <si>
    <t>föld</t>
  </si>
  <si>
    <t>levegő</t>
  </si>
  <si>
    <t>nyomvonal anyaga (vakolt, gipszkarton, beton, fémszerkezet, föld, levegő)</t>
  </si>
  <si>
    <t>nyári konyha</t>
  </si>
  <si>
    <t>dugaljak  (db) 1</t>
  </si>
  <si>
    <t>dugaljak  (db) 2</t>
  </si>
  <si>
    <t>dugaljak  (db) 3</t>
  </si>
  <si>
    <t>dugaljak  (db) 5</t>
  </si>
  <si>
    <t>csillárok (db)</t>
  </si>
  <si>
    <t>ÁK0</t>
  </si>
  <si>
    <t>ÁK1</t>
  </si>
  <si>
    <t>ÁK2</t>
  </si>
  <si>
    <t>ÁK3</t>
  </si>
  <si>
    <t>ÁK4</t>
  </si>
  <si>
    <t>ÁK5</t>
  </si>
  <si>
    <t>ÁK6</t>
  </si>
  <si>
    <t>ÁK7</t>
  </si>
  <si>
    <t>ÁK8</t>
  </si>
  <si>
    <t>ÁK9</t>
  </si>
  <si>
    <t>ÁK10</t>
  </si>
  <si>
    <t>ÁK11</t>
  </si>
  <si>
    <t>ÁK12</t>
  </si>
  <si>
    <t>ÁK13</t>
  </si>
  <si>
    <t>ÁK14</t>
  </si>
  <si>
    <t>ÁK15</t>
  </si>
  <si>
    <t>ÁK16</t>
  </si>
  <si>
    <t>ÁK17</t>
  </si>
  <si>
    <t>ÁK18</t>
  </si>
  <si>
    <t>konyhai kisgépek (db)</t>
  </si>
  <si>
    <t>hűtőszekrény és vagy mosogatógép (db)</t>
  </si>
  <si>
    <t>kültéri dugalj 1 fázis (db)</t>
  </si>
  <si>
    <t>kültéri dugalj 3 fázis (db)</t>
  </si>
  <si>
    <t>süllyesztett</t>
  </si>
  <si>
    <t>falon kívüli</t>
  </si>
  <si>
    <t>vas szerkezet</t>
  </si>
  <si>
    <t>szélfogó</t>
  </si>
  <si>
    <t>lépcsőház</t>
  </si>
  <si>
    <t>háztartási helyiség</t>
  </si>
  <si>
    <t>garázs</t>
  </si>
  <si>
    <t>kazánház</t>
  </si>
  <si>
    <t>padlástér</t>
  </si>
  <si>
    <t>W/m2</t>
  </si>
  <si>
    <t>W/db</t>
  </si>
  <si>
    <t>Mért fővezeték FÖLD nyomvonal (m)</t>
  </si>
  <si>
    <t>Méretlen fővezeték FÖLD nyomvonal (m)</t>
  </si>
  <si>
    <t>Méretlen fővezeték LÉG fesztáv (m)</t>
  </si>
  <si>
    <t>Fésüs sín 1p.63A 1m GMBB101/THP-130 LIF1P63 [88010411]</t>
  </si>
  <si>
    <t>ETIMAT6 C16A 1p. Kismegszakitó 2141516 [85000652]</t>
  </si>
  <si>
    <t>ETIMAT6 C32A 1p. Kismegszakitó 2141519 [85000655]</t>
  </si>
  <si>
    <t>fi-relé (30 mA, 3 fázisú) 40A</t>
  </si>
  <si>
    <t>fi-relé (10 mA, 3 fázisú) 16A</t>
  </si>
  <si>
    <t>ACTI9 IDPNA Kombinált Áramvédőkapcsoló A Osztályú 1P-N,C,16A, 10mA A9D05616</t>
  </si>
  <si>
    <t>https://elektrobagoly.hu/acti9-idpna-kombinalt-aramvedokapcsolo-a-osztalyu-1p-n-c-16a-10ma-a9d05616.html</t>
  </si>
  <si>
    <t>Elmark</t>
  </si>
  <si>
    <t>Áramvédőkapcsoló (fí-relé) 4P 32A 500MA, 6kA, AC típusú (https://elektrobagoly.hu/aramvedokapcsolo-fi-rele-4p-32a-500ma-6ka-ac-tipusu.html)</t>
  </si>
  <si>
    <t>ETI EFI-P4 A 40A/30mA 4p.Áramv. régi 2062543 új 2061512 [85000536]</t>
  </si>
  <si>
    <t>ETI EFI-4A 63/30mA Áramv.2062544/2061513 [85000528]</t>
  </si>
  <si>
    <t>Symalen cső 16</t>
  </si>
  <si>
    <t>Symalen cső 20</t>
  </si>
  <si>
    <t>100x100 doboz vakolt vastagfalu</t>
  </si>
  <si>
    <t>szorítóbilincs</t>
  </si>
  <si>
    <t>csatorna 25x40</t>
  </si>
  <si>
    <t>csatorna 16x16</t>
  </si>
  <si>
    <t>csatorna 25x25</t>
  </si>
  <si>
    <t>csőbilincs</t>
  </si>
  <si>
    <t>Anyag hulladék szint</t>
  </si>
  <si>
    <t>Kockázat szint</t>
  </si>
  <si>
    <t>Szerelési anyag egységár</t>
  </si>
  <si>
    <t>Szolgáltatás egységár</t>
  </si>
  <si>
    <t>Vésés egységár</t>
  </si>
  <si>
    <t>cstr</t>
  </si>
  <si>
    <t>MCS 25x40 sima csatorna (40m) STI939 [05510229]</t>
  </si>
  <si>
    <t>csatorna 15x15</t>
  </si>
  <si>
    <t>MCS 15x15 csatorna STI936/STI1584 [05510230]</t>
  </si>
  <si>
    <t>MCS 25x25 sima csatorna (50m) STI938 [05510231]</t>
  </si>
  <si>
    <t>csatorna 25x50</t>
  </si>
  <si>
    <t>MCS 25x50 sima csatorna (24m) VSZ0023 ISO-NAL [05510232]</t>
  </si>
  <si>
    <t>kábelcsatorna 10x20</t>
  </si>
  <si>
    <t>MCS 1 kábelcsatorna 10x20mm STI933(200m) 8x21mm [05510225]</t>
  </si>
  <si>
    <t>kábelcsatorna 16x40</t>
  </si>
  <si>
    <t>MCS 2 kábelcsatorna 16x40mm (60m) STI934 [05510226]</t>
  </si>
  <si>
    <t>http://stafeta.hu/webshop/szerelesi-anyagok/egyeb-kellekanyagok/csobilincsek</t>
  </si>
  <si>
    <t>fém szerkezet</t>
  </si>
  <si>
    <t>100x100 doboz falon kívüli</t>
  </si>
  <si>
    <t>Helia 100x100 doboz IP 54 [05522004]</t>
  </si>
  <si>
    <t>68 mm2 doboz gipszartonba 3</t>
  </si>
  <si>
    <t>Kopos KPL 64/3L gipsz.doboz 3x65-ös /33/ [05012440]</t>
  </si>
  <si>
    <t>68 mm2 doboz gipszartonba 5</t>
  </si>
  <si>
    <t>Kopos KP 64/5L gipsz.doboz 5x65-ös [05012447]</t>
  </si>
  <si>
    <t>80x80 doboz gipszkarton</t>
  </si>
  <si>
    <t>80x80 doboz vakolt + tető</t>
  </si>
  <si>
    <t>MŰ 80-as doboz tetö nélkül D8001/D80 [05510091]</t>
  </si>
  <si>
    <t>85x85 doboz falon kívüli</t>
  </si>
  <si>
    <t>Helia 85x85 doboz IP 54 [05522003]</t>
  </si>
  <si>
    <t>tokozat mágneskapcsolóhoz</t>
  </si>
  <si>
    <t>Elektrotechnikai kisbolt</t>
  </si>
  <si>
    <t>elosztó szekrény 12 modul</t>
  </si>
  <si>
    <t>ETI kismeg.elosztó 12 mod sülly 1101011 [01990987]</t>
  </si>
  <si>
    <t>ETI kismeg.elosztó 18 mod sülly 1101018 [01990988]</t>
  </si>
  <si>
    <t>fővezeték csatlakozó 25 mm2</t>
  </si>
  <si>
    <t>HLAK25-1/2M sork kék 08011014/7110189 Leipold/F-tronic [03820008]</t>
  </si>
  <si>
    <t>fővezeték csatlakozó 35 mm2</t>
  </si>
  <si>
    <t>HLAK35-1/8p sork kék HLAK135DK 114-12700700-00 [03820010]</t>
  </si>
  <si>
    <t>gcs</t>
  </si>
  <si>
    <t>gégecső 16 mm / 13,5</t>
  </si>
  <si>
    <t>http://stafeta.hu/webshop/szerelesi-anyagok/csovek-csatornak-dobozok/gegecso-fali</t>
  </si>
  <si>
    <t>gégecső 20 mm / 16</t>
  </si>
  <si>
    <t>Gégecső 20 mm /16/ műa. (100m) szürke [05510104]</t>
  </si>
  <si>
    <t>gégecső 25 mm / 23</t>
  </si>
  <si>
    <t>Gégecső 25 mm / 23/ műa. (50m) szürke [05510105]</t>
  </si>
  <si>
    <t>gégecső 32 mm / 29</t>
  </si>
  <si>
    <t>Gégecső 32 mm /29/ műa. (25m) szürke [05510106]</t>
  </si>
  <si>
    <t>gégecső 40 mm / 36</t>
  </si>
  <si>
    <t>Gégecső 40 mm /36/ műa. (25m) szürke [05510107]</t>
  </si>
  <si>
    <t>UV álló gégecső</t>
  </si>
  <si>
    <t>föld KOAX</t>
  </si>
  <si>
    <t>RG 11 koax 75 Ohm légk. 3X árny.fesz.RÉZ [93684102]</t>
  </si>
  <si>
    <t>föld UTP</t>
  </si>
  <si>
    <t>UTP CAT6 Földkábel 500m
K1142050FÖLDC6 [93820015]</t>
  </si>
  <si>
    <t>földkábel 3x1,5</t>
  </si>
  <si>
    <t>EYY-J 3x1,5 kábel /drum 500m-es/ [93491809]</t>
  </si>
  <si>
    <t>EYY-J 3x2,5 kábel /drum 500m-es/ [93491909]</t>
  </si>
  <si>
    <t>földkábel 3x4</t>
  </si>
  <si>
    <t>EYY-J 3x4 kábel 0,6/1kV [93492009]</t>
  </si>
  <si>
    <t>földkábel 4x1,5</t>
  </si>
  <si>
    <t>EYY-J 4x1,5 kábel /Reel 500m-es/ [93492209]</t>
  </si>
  <si>
    <t>földkábel 4x16</t>
  </si>
  <si>
    <t>NYY-J 4x16 kábel /drum 500m-es/ [93492558]</t>
  </si>
  <si>
    <t>földkábel 4x2,5</t>
  </si>
  <si>
    <t>NYY-J 4x2,5 kábel /Reel 500m-es/ [93492308]</t>
  </si>
  <si>
    <t>földkábel 4x4</t>
  </si>
  <si>
    <t>NYY-J 4x4 kábel /drum 500m-es/ [93492408]</t>
  </si>
  <si>
    <t>földkábel 5x1,5</t>
  </si>
  <si>
    <t>EYY-J 5x1,5 kábel /drum 500m-es/ [93492609]</t>
  </si>
  <si>
    <t>földkábel 5x10</t>
  </si>
  <si>
    <t>EYY-J 5x10 kábel /drum 500m-es/ [93496709]</t>
  </si>
  <si>
    <t>földkábel 5x16</t>
  </si>
  <si>
    <t>EYY-J 5x16 kábel /drum 500m-es/ [93496809]</t>
  </si>
  <si>
    <t>EYY-J 5x2,5 kábel /drum 500m-es/ [93492709]</t>
  </si>
  <si>
    <t>földkábel 5x4</t>
  </si>
  <si>
    <t>EYY-J 5x4 kábel /drum 500m-es/ [93492809]</t>
  </si>
  <si>
    <t>földkábel 5x6</t>
  </si>
  <si>
    <t>NYY-J 5x6 kábel /drum 500m-es/ [93492908]</t>
  </si>
  <si>
    <t>MBCU 3x2,5</t>
  </si>
  <si>
    <t>MBCU 5x1,5</t>
  </si>
  <si>
    <t>MBCu 5x1,5 kábel /NYM-J/ 500ms drum [93172611]</t>
  </si>
  <si>
    <t>MTK 3x1,5</t>
  </si>
  <si>
    <t>HO5VV-F 3G1,5 white/fehér/ vezeték 100ms [93091818]</t>
  </si>
  <si>
    <t>MTK 3x2,5</t>
  </si>
  <si>
    <t>HO5VV-F 3G2,5 white/fehér/ vezeték 100ms [93091918]</t>
  </si>
  <si>
    <t>MTK 5x1,5</t>
  </si>
  <si>
    <t>HO5VV-F 5G1,5 white/fehér/ vezeték 100ms [93092618]</t>
  </si>
  <si>
    <t>MTK 5x2,5</t>
  </si>
  <si>
    <t>HO5VV-F 5G2,5 white/fehér/ vezeték 100ms [93092718]</t>
  </si>
  <si>
    <t>https://stafeta.hu/webshop/vezetekek-es-kabelek/pvc-szigetelesu-kabelek/h05vv-f-pvc-szigetelesu-hajlekony-kiskabel</t>
  </si>
  <si>
    <t>UV álló kábel 3x2,5</t>
  </si>
  <si>
    <t>Kábel Ring</t>
  </si>
  <si>
    <t>kismegszakító B10</t>
  </si>
  <si>
    <t>ETIMAT6 B10A 1p.Kismegszakító 2111514 [85000659]</t>
  </si>
  <si>
    <t>kismegszakító B13</t>
  </si>
  <si>
    <t>kismegszakító B16</t>
  </si>
  <si>
    <t>ETIMAT6 B16A 1p.kismegszakitó 2111516 [85000661]</t>
  </si>
  <si>
    <t>kismegszakító B20</t>
  </si>
  <si>
    <t>ETIMAT6 B20A 1p.kismegszakitó 2111517 [85000668]</t>
  </si>
  <si>
    <t>kismegszakító B25</t>
  </si>
  <si>
    <t>ETI ST-68 B25 1p 4,5kA Kismegsz.2171318 [85000614]</t>
  </si>
  <si>
    <t>kismegszakító B6</t>
  </si>
  <si>
    <t>ETI ST-68 B6 1p 4,5kA kismegszak.2171312 [85000610]</t>
  </si>
  <si>
    <t>kismegszakító C10</t>
  </si>
  <si>
    <t>ETIMAT6 C10A 1p. Kismegszakitó 2141514 [85000651]</t>
  </si>
  <si>
    <t>kismegszakító C25</t>
  </si>
  <si>
    <t>ETIMAT6 C25A 1p. Kismegszakitó 2141518 C25 21355P [85000654]</t>
  </si>
  <si>
    <t>kismegszakító C6</t>
  </si>
  <si>
    <t>ETIMAT6 C6A 1p. Kismegszakitó 2141512 [85000650]</t>
  </si>
  <si>
    <t>kismegszakítók 13C 2P</t>
  </si>
  <si>
    <t>mágnes kapcsoló 100A 3P</t>
  </si>
  <si>
    <t>MŰ III. cső 11</t>
  </si>
  <si>
    <t>MŰ III 11-es vékonyfalu védőcső [05510202]</t>
  </si>
  <si>
    <t>MŰ III. cső 13,5</t>
  </si>
  <si>
    <t>MŰ III 13,5-es vékonyfalu védőcső [05510203]</t>
  </si>
  <si>
    <t>MŰ III. cső 16</t>
  </si>
  <si>
    <t>MŰ III 16-os vékonyfalu védőcső [05510204]</t>
  </si>
  <si>
    <t>MŰ III. cső 29</t>
  </si>
  <si>
    <t>MŰ III 29-es vékonyfalu védőcső [05510206]</t>
  </si>
  <si>
    <t>fi-relé (30 mA, 3 fázisú) 16A</t>
  </si>
  <si>
    <t>ETI EFI-4P A 16A/30mA áv.2062541/2061510 [85000525]</t>
  </si>
  <si>
    <t>földelő szonda csatlakozó</t>
  </si>
  <si>
    <t>Kovoblesk bek.kapocs földelőrúdhoz 20787
25mm átmérő 4xM8 [86410027]</t>
  </si>
  <si>
    <t>szlv</t>
  </si>
  <si>
    <t>dugalj1 kerettel Asfora</t>
  </si>
  <si>
    <t>fekvő 1 (2P + F)</t>
  </si>
  <si>
    <t>dugalj3 kerettel Asfora</t>
  </si>
  <si>
    <t>fekvő 3 (3x2P + F)</t>
  </si>
  <si>
    <t>dugalj5 kerettel Asfora</t>
  </si>
  <si>
    <t>fekvő 5 (5x2P + F)</t>
  </si>
  <si>
    <t>kapcsoló1 Asfora</t>
  </si>
  <si>
    <t>101 egypólusú, egysarakú</t>
  </si>
  <si>
    <t>kapcsoló2 Asfora</t>
  </si>
  <si>
    <t>102 kétpólusú, kétsarkú</t>
  </si>
  <si>
    <t>kapcsoló3 Asfora</t>
  </si>
  <si>
    <t>kapcsoló4 Asfora</t>
  </si>
  <si>
    <t>105 csillár, két áramkörös</t>
  </si>
  <si>
    <t>kapcsoló5 Asfora</t>
  </si>
  <si>
    <t>106 alternatív, váltó</t>
  </si>
  <si>
    <t>kapcsoló6 Asfora</t>
  </si>
  <si>
    <t>106+6 kettős alternatív, váltó</t>
  </si>
  <si>
    <t>kapcsoló7 Asfora</t>
  </si>
  <si>
    <t>107 keresztváltó</t>
  </si>
  <si>
    <t>horog/kampó</t>
  </si>
  <si>
    <t>Szorítóbilincs 6,3-8mm-ig U08 [05025323]</t>
  </si>
  <si>
    <t>MCU 10,0</t>
  </si>
  <si>
    <t>HO7V-R 10 green/yellow /Z/s/ vezeték [93000830]</t>
  </si>
  <si>
    <t>MCU 4,0</t>
  </si>
  <si>
    <t>HO7V-U 4 black /fekete/ vezeték [93000628]</t>
  </si>
  <si>
    <t>MCU 6,0</t>
  </si>
  <si>
    <t>HO7V-U 6 black /fekete / vezeték [93000728]</t>
  </si>
  <si>
    <t>MKH 1,5</t>
  </si>
  <si>
    <t>H07V-K 1,5 z/s vezeték Mkh (100) [93110448]</t>
  </si>
  <si>
    <t>https://stafeta.hu/webshop/vezetekek-es-kabelek/pvc-szigetelesu-vezetekek/h07v-k-pvc-szigetelesu-hajlekony-vezetek-450-750v</t>
  </si>
  <si>
    <t>MKH 10,0</t>
  </si>
  <si>
    <t>H07V-K 10 z/s vezeték Mkh (100) [93110848]</t>
  </si>
  <si>
    <t>MKH 16,0</t>
  </si>
  <si>
    <t>H07V-K 16 fekete vezeték Mkh (100) [93110928]</t>
  </si>
  <si>
    <t>MKH 2,5</t>
  </si>
  <si>
    <t>H07V-K 2,5 kék(sötét) vezeték Mkh (100) RAL5010 [93110538]</t>
  </si>
  <si>
    <t>MKH 25,0</t>
  </si>
  <si>
    <t>H07V-K 25 z/s vezeték Mkh dob (500) [93113448]</t>
  </si>
  <si>
    <t>MKH 4,0</t>
  </si>
  <si>
    <t>H07V-K 4 fekete vezeték Mkh (100) [93110628]</t>
  </si>
  <si>
    <t>MKH 6,0</t>
  </si>
  <si>
    <t>H07V-K 6 z/s vezeték Mkh (100) [93110748]</t>
  </si>
  <si>
    <t>Symalen cső ELS 16 narancs /100/ [05430105]</t>
  </si>
  <si>
    <t>http://stafeta.hu/webshop/szerelesi-anyagok/csovek-csatornak-dobozok/gegecso-betonba</t>
  </si>
  <si>
    <t>Symalen cső ELS 20 narancs /100/ [05430106]</t>
  </si>
  <si>
    <t>Symalen cső 25</t>
  </si>
  <si>
    <t>Symalen cső ELS 25 narancs /50m/ [05430107]</t>
  </si>
  <si>
    <t>Symalen cső 32</t>
  </si>
  <si>
    <t>Symalen cső ELS 32 narancs /50m/ [05430108]</t>
  </si>
  <si>
    <t>összesen (bruttó anyag, munka, kiszállás)</t>
  </si>
  <si>
    <t>Szolgálatatás csomag tartalma:</t>
  </si>
  <si>
    <t>VÉSÉS</t>
  </si>
  <si>
    <t>kötődobozok, csövek</t>
  </si>
  <si>
    <t>KÖTŐDOBOZOK KIÉPÍTÉSE</t>
  </si>
  <si>
    <t>kötődobozok rögzítése</t>
  </si>
  <si>
    <t>CSÖVEZÉS</t>
  </si>
  <si>
    <t>csövek rögzítése</t>
  </si>
  <si>
    <t>KÁBELEK, VEZETÉKEK BEHÚZÁSA</t>
  </si>
  <si>
    <t>áramkörök kiépítése</t>
  </si>
  <si>
    <t>ÁRAMKÖRÖK KÖTÉSE</t>
  </si>
  <si>
    <t>áramköröi kötések szerelése</t>
  </si>
  <si>
    <t>ELOSZTÓ TÁBLA SZERELÉSE</t>
  </si>
  <si>
    <t>új tábla telepítése süllyesztve</t>
  </si>
  <si>
    <t>kismegszakítók szerelése, bekötése</t>
  </si>
  <si>
    <t>Fi-relé szerelése</t>
  </si>
  <si>
    <t>Nem része az árajánlatnak:</t>
  </si>
  <si>
    <t>SZERELVÉNYEZÉS</t>
  </si>
  <si>
    <t>kapcsolók, dugaljak felszerelése</t>
  </si>
  <si>
    <t>Munkafolyamat</t>
  </si>
  <si>
    <t>Szolgáltatás</t>
  </si>
  <si>
    <t>Tartalom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</si>
</sst>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6" formatCode="yyyy\.mm\.dd\.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b/>
      <sz val="11"/>
      <color rgb="FFC0000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38"/>
    </font>
    <font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27"/>
      <color theme="0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b/>
      <sz val="16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6"/>
      <color theme="0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theme="0"/>
      <name val="Calibri"/>
      <family val="2"/>
      <charset val="238"/>
      <scheme val="minor"/>
    </font>
    <font>
      <u/>
      <sz val="11"/>
      <color theme="0"/>
      <name val="Calibri"/>
      <family val="2"/>
      <charset val="238"/>
      <scheme val="minor"/>
    </font>
    <font>
      <sz val="8"/>
      <color rgb="FF000000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theme="10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5">
    <xf numFmtId="0" fontId="0" fillId="0" borderId="0" xfId="0"/>
    <xf numFmtId="3" fontId="0" fillId="0" borderId="0" xfId="0" applyNumberFormat="1"/>
    <xf numFmtId="3" fontId="5" fillId="0" borderId="0" xfId="0" applyNumberFormat="1" applyFont="1"/>
    <xf numFmtId="0" fontId="0" fillId="2" borderId="0" xfId="0" applyFill="1"/>
    <xf numFmtId="3" fontId="0" fillId="2" borderId="0" xfId="0" applyNumberFormat="1" applyFill="1"/>
    <xf numFmtId="0" fontId="3" fillId="2" borderId="0" xfId="0" applyFont="1" applyFill="1" applyAlignment="1">
      <alignment horizontal="right"/>
    </xf>
    <xf numFmtId="0" fontId="3" fillId="2" borderId="0" xfId="0" applyFont="1" applyFill="1"/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6" fillId="2" borderId="0" xfId="0" applyFont="1" applyFill="1"/>
    <xf numFmtId="3" fontId="0" fillId="2" borderId="2" xfId="0" applyNumberFormat="1" applyFill="1" applyBorder="1"/>
    <xf numFmtId="0" fontId="3" fillId="2" borderId="3" xfId="0" applyFont="1" applyFill="1" applyBorder="1" applyAlignment="1">
      <alignment horizontal="center" wrapText="1"/>
    </xf>
    <xf numFmtId="3" fontId="0" fillId="2" borderId="5" xfId="0" applyNumberFormat="1" applyFill="1" applyBorder="1"/>
    <xf numFmtId="0" fontId="3" fillId="0" borderId="0" xfId="0" applyFont="1" applyAlignment="1">
      <alignment horizontal="right"/>
    </xf>
    <xf numFmtId="3" fontId="10" fillId="2" borderId="0" xfId="0" applyNumberFormat="1" applyFont="1" applyFill="1"/>
    <xf numFmtId="4" fontId="10" fillId="2" borderId="0" xfId="0" applyNumberFormat="1" applyFont="1" applyFill="1" applyAlignment="1">
      <alignment horizontal="right"/>
    </xf>
    <xf numFmtId="3" fontId="0" fillId="0" borderId="0" xfId="0" applyNumberFormat="1" applyFont="1"/>
    <xf numFmtId="3" fontId="8" fillId="3" borderId="0" xfId="0" applyNumberFormat="1" applyFont="1" applyFill="1"/>
    <xf numFmtId="0" fontId="0" fillId="4" borderId="0" xfId="0" applyFill="1"/>
    <xf numFmtId="0" fontId="11" fillId="2" borderId="0" xfId="0" applyFont="1" applyFill="1" applyAlignment="1">
      <alignment vertical="center"/>
    </xf>
    <xf numFmtId="0" fontId="0" fillId="2" borderId="0" xfId="0" applyFill="1" applyAlignment="1">
      <alignment wrapText="1"/>
    </xf>
    <xf numFmtId="0" fontId="13" fillId="2" borderId="0" xfId="0" applyFont="1" applyFill="1"/>
    <xf numFmtId="0" fontId="4" fillId="0" borderId="0" xfId="1"/>
    <xf numFmtId="3" fontId="0" fillId="2" borderId="0" xfId="0" applyNumberFormat="1" applyFill="1" applyBorder="1"/>
    <xf numFmtId="3" fontId="0" fillId="2" borderId="0" xfId="0" applyNumberFormat="1" applyFont="1" applyFill="1" applyBorder="1"/>
    <xf numFmtId="0" fontId="6" fillId="0" borderId="0" xfId="0" applyFont="1"/>
    <xf numFmtId="0" fontId="0" fillId="2" borderId="0" xfId="0" applyFill="1" applyBorder="1"/>
    <xf numFmtId="3" fontId="6" fillId="0" borderId="0" xfId="0" applyNumberFormat="1" applyFont="1"/>
    <xf numFmtId="14" fontId="6" fillId="2" borderId="0" xfId="0" applyNumberFormat="1" applyFont="1" applyFill="1"/>
    <xf numFmtId="3" fontId="0" fillId="2" borderId="0" xfId="0" applyNumberFormat="1" applyFont="1" applyFill="1" applyBorder="1" applyAlignment="1">
      <alignment horizontal="left"/>
    </xf>
    <xf numFmtId="164" fontId="0" fillId="2" borderId="0" xfId="0" applyNumberFormat="1" applyFont="1" applyFill="1" applyBorder="1" applyAlignment="1">
      <alignment horizontal="left"/>
    </xf>
    <xf numFmtId="0" fontId="9" fillId="3" borderId="0" xfId="0" applyFont="1" applyFill="1" applyBorder="1" applyAlignment="1"/>
    <xf numFmtId="3" fontId="0" fillId="0" borderId="0" xfId="0" applyNumberFormat="1" applyFill="1"/>
    <xf numFmtId="0" fontId="0" fillId="0" borderId="0" xfId="0" applyAlignment="1">
      <alignment horizontal="center"/>
    </xf>
    <xf numFmtId="9" fontId="0" fillId="0" borderId="0" xfId="0" applyNumberFormat="1"/>
    <xf numFmtId="3" fontId="10" fillId="2" borderId="0" xfId="0" applyNumberFormat="1" applyFont="1" applyFill="1" applyBorder="1" applyAlignment="1">
      <alignment horizontal="right"/>
    </xf>
    <xf numFmtId="0" fontId="16" fillId="2" borderId="2" xfId="0" applyFont="1" applyFill="1" applyBorder="1"/>
    <xf numFmtId="0" fontId="16" fillId="2" borderId="0" xfId="0" applyFont="1" applyFill="1" applyBorder="1"/>
    <xf numFmtId="3" fontId="3" fillId="0" borderId="0" xfId="0" applyNumberFormat="1" applyFont="1"/>
    <xf numFmtId="164" fontId="0" fillId="2" borderId="0" xfId="0" applyNumberFormat="1" applyFill="1" applyBorder="1"/>
    <xf numFmtId="164" fontId="3" fillId="2" borderId="0" xfId="0" applyNumberFormat="1" applyFont="1" applyFill="1" applyBorder="1"/>
    <xf numFmtId="3" fontId="3" fillId="2" borderId="0" xfId="0" applyNumberFormat="1" applyFont="1" applyFill="1" applyBorder="1"/>
    <xf numFmtId="3" fontId="12" fillId="2" borderId="0" xfId="0" applyNumberFormat="1" applyFont="1" applyFill="1" applyAlignment="1">
      <alignment horizontal="left"/>
    </xf>
    <xf numFmtId="3" fontId="12" fillId="2" borderId="0" xfId="0" applyNumberFormat="1" applyFont="1" applyFill="1"/>
    <xf numFmtId="3" fontId="8" fillId="8" borderId="0" xfId="0" applyNumberFormat="1" applyFont="1" applyFill="1"/>
    <xf numFmtId="0" fontId="9" fillId="9" borderId="0" xfId="0" applyFont="1" applyFill="1" applyBorder="1" applyAlignment="1"/>
    <xf numFmtId="3" fontId="0" fillId="0" borderId="3" xfId="0" applyNumberFormat="1" applyBorder="1"/>
    <xf numFmtId="0" fontId="3" fillId="2" borderId="0" xfId="0" applyFont="1" applyFill="1" applyBorder="1"/>
    <xf numFmtId="3" fontId="0" fillId="0" borderId="0" xfId="0" applyNumberFormat="1" applyBorder="1"/>
    <xf numFmtId="0" fontId="0" fillId="0" borderId="1" xfId="0" applyBorder="1"/>
    <xf numFmtId="0" fontId="3" fillId="0" borderId="0" xfId="0" applyFont="1"/>
    <xf numFmtId="0" fontId="0" fillId="0" borderId="3" xfId="0" applyBorder="1"/>
    <xf numFmtId="0" fontId="6" fillId="2" borderId="0" xfId="0" applyFont="1" applyFill="1" applyAlignment="1">
      <alignment horizontal="right"/>
    </xf>
    <xf numFmtId="0" fontId="18" fillId="2" borderId="0" xfId="0" applyFont="1" applyFill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9" fontId="0" fillId="0" borderId="3" xfId="0" applyNumberFormat="1" applyBorder="1"/>
    <xf numFmtId="0" fontId="0" fillId="7" borderId="0" xfId="0" applyFill="1"/>
    <xf numFmtId="0" fontId="0" fillId="7" borderId="3" xfId="0" applyFill="1" applyBorder="1"/>
    <xf numFmtId="0" fontId="0" fillId="0" borderId="11" xfId="0" applyBorder="1"/>
    <xf numFmtId="0" fontId="0" fillId="7" borderId="11" xfId="0" applyFill="1" applyBorder="1"/>
    <xf numFmtId="3" fontId="0" fillId="0" borderId="11" xfId="0" applyNumberFormat="1" applyBorder="1"/>
    <xf numFmtId="9" fontId="0" fillId="0" borderId="11" xfId="0" applyNumberFormat="1" applyBorder="1"/>
    <xf numFmtId="3" fontId="7" fillId="0" borderId="3" xfId="0" applyNumberFormat="1" applyFont="1" applyBorder="1"/>
    <xf numFmtId="3" fontId="8" fillId="12" borderId="0" xfId="0" applyNumberFormat="1" applyFont="1" applyFill="1"/>
    <xf numFmtId="9" fontId="3" fillId="0" borderId="0" xfId="0" applyNumberFormat="1" applyFont="1"/>
    <xf numFmtId="0" fontId="0" fillId="0" borderId="0" xfId="0" applyFill="1" applyBorder="1"/>
    <xf numFmtId="0" fontId="1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0" fillId="0" borderId="12" xfId="0" applyBorder="1"/>
    <xf numFmtId="4" fontId="0" fillId="0" borderId="12" xfId="0" applyNumberFormat="1" applyBorder="1"/>
    <xf numFmtId="4" fontId="0" fillId="0" borderId="1" xfId="0" applyNumberFormat="1" applyBorder="1"/>
    <xf numFmtId="0" fontId="0" fillId="0" borderId="2" xfId="0" applyBorder="1"/>
    <xf numFmtId="4" fontId="0" fillId="0" borderId="2" xfId="0" applyNumberFormat="1" applyBorder="1"/>
    <xf numFmtId="0" fontId="0" fillId="0" borderId="4" xfId="0" applyBorder="1"/>
    <xf numFmtId="4" fontId="0" fillId="0" borderId="4" xfId="0" applyNumberFormat="1" applyBorder="1"/>
    <xf numFmtId="14" fontId="3" fillId="0" borderId="0" xfId="0" applyNumberFormat="1" applyFont="1" applyAlignment="1">
      <alignment horizontal="center"/>
    </xf>
    <xf numFmtId="3" fontId="0" fillId="0" borderId="0" xfId="0" applyNumberFormat="1" applyFont="1" applyFill="1" applyBorder="1"/>
    <xf numFmtId="3" fontId="0" fillId="2" borderId="0" xfId="0" applyNumberFormat="1" applyFont="1" applyFill="1" applyBorder="1" applyAlignment="1">
      <alignment horizontal="right"/>
    </xf>
    <xf numFmtId="3" fontId="8" fillId="3" borderId="0" xfId="0" applyNumberFormat="1" applyFont="1" applyFill="1" applyAlignment="1">
      <alignment horizontal="right"/>
    </xf>
    <xf numFmtId="3" fontId="12" fillId="2" borderId="0" xfId="0" applyNumberFormat="1" applyFont="1" applyFill="1" applyAlignment="1">
      <alignment horizontal="right"/>
    </xf>
    <xf numFmtId="0" fontId="21" fillId="0" borderId="0" xfId="0" applyFont="1" applyFill="1" applyBorder="1" applyAlignment="1"/>
    <xf numFmtId="3" fontId="22" fillId="2" borderId="0" xfId="0" applyNumberFormat="1" applyFont="1" applyFill="1" applyBorder="1" applyAlignment="1">
      <alignment horizontal="right"/>
    </xf>
    <xf numFmtId="0" fontId="9" fillId="3" borderId="0" xfId="0" applyFont="1" applyFill="1" applyBorder="1" applyAlignment="1">
      <alignment horizontal="right"/>
    </xf>
    <xf numFmtId="3" fontId="23" fillId="2" borderId="0" xfId="0" applyNumberFormat="1" applyFont="1" applyFill="1" applyAlignment="1">
      <alignment horizontal="right"/>
    </xf>
    <xf numFmtId="3" fontId="10" fillId="2" borderId="0" xfId="0" applyNumberFormat="1" applyFont="1" applyFill="1" applyBorder="1"/>
    <xf numFmtId="0" fontId="21" fillId="10" borderId="0" xfId="0" applyFont="1" applyFill="1" applyBorder="1" applyAlignment="1"/>
    <xf numFmtId="3" fontId="14" fillId="10" borderId="0" xfId="0" applyNumberFormat="1" applyFont="1" applyFill="1" applyBorder="1" applyAlignment="1">
      <alignment horizontal="right"/>
    </xf>
    <xf numFmtId="3" fontId="14" fillId="10" borderId="0" xfId="0" applyNumberFormat="1" applyFont="1" applyFill="1" applyBorder="1"/>
    <xf numFmtId="3" fontId="14" fillId="0" borderId="0" xfId="0" applyNumberFormat="1" applyFont="1" applyFill="1" applyBorder="1" applyAlignment="1">
      <alignment horizontal="right"/>
    </xf>
    <xf numFmtId="3" fontId="14" fillId="0" borderId="0" xfId="0" applyNumberFormat="1" applyFont="1" applyFill="1" applyBorder="1"/>
    <xf numFmtId="3" fontId="15" fillId="0" borderId="0" xfId="0" applyNumberFormat="1" applyFont="1" applyFill="1" applyBorder="1"/>
    <xf numFmtId="3" fontId="15" fillId="0" borderId="0" xfId="0" applyNumberFormat="1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3" fontId="24" fillId="2" borderId="0" xfId="0" applyNumberFormat="1" applyFont="1" applyFill="1" applyBorder="1" applyAlignment="1">
      <alignment horizontal="right"/>
    </xf>
    <xf numFmtId="3" fontId="25" fillId="2" borderId="0" xfId="0" applyNumberFormat="1" applyFont="1" applyFill="1" applyAlignment="1">
      <alignment horizontal="right"/>
    </xf>
    <xf numFmtId="3" fontId="26" fillId="2" borderId="0" xfId="0" applyNumberFormat="1" applyFont="1" applyFill="1" applyBorder="1" applyAlignment="1">
      <alignment horizontal="right"/>
    </xf>
    <xf numFmtId="3" fontId="26" fillId="0" borderId="0" xfId="0" applyNumberFormat="1" applyFont="1" applyFill="1" applyBorder="1" applyAlignment="1">
      <alignment horizontal="right"/>
    </xf>
    <xf numFmtId="3" fontId="0" fillId="10" borderId="0" xfId="0" applyNumberFormat="1" applyFont="1" applyFill="1" applyBorder="1"/>
    <xf numFmtId="0" fontId="9" fillId="9" borderId="0" xfId="0" applyFont="1" applyFill="1" applyBorder="1" applyAlignment="1">
      <alignment horizontal="right"/>
    </xf>
    <xf numFmtId="3" fontId="8" fillId="9" borderId="0" xfId="0" applyNumberFormat="1" applyFont="1" applyFill="1" applyBorder="1" applyAlignment="1">
      <alignment horizontal="right"/>
    </xf>
    <xf numFmtId="3" fontId="8" fillId="9" borderId="0" xfId="0" applyNumberFormat="1" applyFont="1" applyFill="1" applyBorder="1"/>
    <xf numFmtId="0" fontId="28" fillId="13" borderId="0" xfId="0" applyFont="1" applyFill="1" applyBorder="1" applyAlignment="1">
      <alignment vertical="top"/>
    </xf>
    <xf numFmtId="49" fontId="27" fillId="13" borderId="0" xfId="0" applyNumberFormat="1" applyFont="1" applyFill="1" applyBorder="1" applyAlignment="1">
      <alignment horizontal="center" vertical="top"/>
    </xf>
    <xf numFmtId="0" fontId="27" fillId="13" borderId="0" xfId="0" applyFont="1" applyFill="1" applyBorder="1" applyAlignment="1">
      <alignment horizontal="center" vertical="top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right"/>
    </xf>
    <xf numFmtId="4" fontId="0" fillId="2" borderId="0" xfId="0" applyNumberFormat="1" applyFill="1" applyBorder="1"/>
    <xf numFmtId="0" fontId="0" fillId="11" borderId="6" xfId="0" applyFill="1" applyBorder="1"/>
    <xf numFmtId="9" fontId="0" fillId="11" borderId="7" xfId="0" applyNumberFormat="1" applyFill="1" applyBorder="1"/>
    <xf numFmtId="3" fontId="0" fillId="3" borderId="0" xfId="0" applyNumberFormat="1" applyFill="1" applyBorder="1"/>
    <xf numFmtId="3" fontId="0" fillId="9" borderId="0" xfId="0" applyNumberFormat="1" applyFill="1" applyBorder="1"/>
    <xf numFmtId="49" fontId="30" fillId="13" borderId="0" xfId="0" applyNumberFormat="1" applyFont="1" applyFill="1" applyBorder="1" applyAlignment="1">
      <alignment vertical="top"/>
    </xf>
    <xf numFmtId="0" fontId="30" fillId="13" borderId="0" xfId="0" applyFont="1" applyFill="1" applyBorder="1" applyAlignment="1">
      <alignment vertical="top"/>
    </xf>
    <xf numFmtId="10" fontId="0" fillId="0" borderId="0" xfId="0" applyNumberFormat="1"/>
    <xf numFmtId="0" fontId="17" fillId="9" borderId="0" xfId="0" applyFont="1" applyFill="1" applyBorder="1" applyAlignment="1"/>
    <xf numFmtId="0" fontId="31" fillId="9" borderId="0" xfId="0" applyFont="1" applyFill="1" applyBorder="1" applyAlignment="1">
      <alignment horizontal="left" vertical="center"/>
    </xf>
    <xf numFmtId="0" fontId="12" fillId="9" borderId="0" xfId="0" applyFont="1" applyFill="1" applyBorder="1"/>
    <xf numFmtId="0" fontId="32" fillId="9" borderId="0" xfId="1" applyFont="1" applyFill="1" applyBorder="1" applyAlignment="1">
      <alignment horizontal="left" vertical="center"/>
    </xf>
    <xf numFmtId="0" fontId="12" fillId="9" borderId="1" xfId="0" applyFont="1" applyFill="1" applyBorder="1"/>
    <xf numFmtId="0" fontId="8" fillId="9" borderId="0" xfId="0" applyFont="1" applyFill="1" applyAlignment="1">
      <alignment horizontal="right"/>
    </xf>
    <xf numFmtId="0" fontId="12" fillId="9" borderId="0" xfId="0" applyFont="1" applyFill="1"/>
    <xf numFmtId="49" fontId="12" fillId="9" borderId="0" xfId="0" applyNumberFormat="1" applyFont="1" applyFill="1"/>
    <xf numFmtId="0" fontId="32" fillId="9" borderId="0" xfId="1" applyFont="1" applyFill="1"/>
    <xf numFmtId="49" fontId="12" fillId="9" borderId="0" xfId="0" quotePrefix="1" applyNumberFormat="1" applyFont="1" applyFill="1"/>
    <xf numFmtId="49" fontId="12" fillId="9" borderId="0" xfId="0" applyNumberFormat="1" applyFont="1" applyFill="1" applyAlignment="1">
      <alignment horizontal="left" vertical="center"/>
    </xf>
    <xf numFmtId="49" fontId="27" fillId="13" borderId="0" xfId="0" applyNumberFormat="1" applyFont="1" applyFill="1" applyAlignment="1">
      <alignment vertical="top"/>
    </xf>
    <xf numFmtId="0" fontId="0" fillId="0" borderId="0" xfId="0" applyFont="1" applyAlignment="1"/>
    <xf numFmtId="0" fontId="29" fillId="13" borderId="0" xfId="0" applyFont="1" applyFill="1" applyBorder="1" applyAlignment="1">
      <alignment vertical="top"/>
    </xf>
    <xf numFmtId="0" fontId="4" fillId="0" borderId="0" xfId="1" applyAlignment="1"/>
    <xf numFmtId="0" fontId="33" fillId="13" borderId="0" xfId="0" applyFont="1" applyFill="1" applyBorder="1" applyAlignment="1">
      <alignment vertical="top"/>
    </xf>
    <xf numFmtId="49" fontId="30" fillId="13" borderId="0" xfId="0" applyNumberFormat="1" applyFont="1" applyFill="1" applyBorder="1" applyAlignment="1">
      <alignment horizontal="left" vertical="top"/>
    </xf>
    <xf numFmtId="0" fontId="34" fillId="13" borderId="0" xfId="0" applyFont="1" applyFill="1" applyBorder="1" applyAlignment="1">
      <alignment vertical="top"/>
    </xf>
    <xf numFmtId="0" fontId="35" fillId="13" borderId="0" xfId="0" applyFont="1" applyFill="1" applyBorder="1" applyAlignment="1">
      <alignment vertical="top"/>
    </xf>
    <xf numFmtId="0" fontId="34" fillId="13" borderId="0" xfId="0" applyFont="1" applyFill="1" applyBorder="1" applyAlignment="1">
      <alignment vertical="top" wrapText="1"/>
    </xf>
    <xf numFmtId="0" fontId="30" fillId="14" borderId="0" xfId="0" applyFont="1" applyFill="1" applyBorder="1" applyAlignment="1">
      <alignment vertical="top" wrapText="1"/>
    </xf>
    <xf numFmtId="0" fontId="30" fillId="13" borderId="0" xfId="0" applyFont="1" applyFill="1" applyBorder="1" applyAlignment="1">
      <alignment vertical="top" wrapText="1"/>
    </xf>
    <xf numFmtId="0" fontId="27" fillId="13" borderId="0" xfId="0" applyFont="1" applyFill="1" applyBorder="1" applyAlignment="1">
      <alignment vertical="top"/>
    </xf>
    <xf numFmtId="0" fontId="34" fillId="13" borderId="0" xfId="0" applyFont="1" applyFill="1" applyBorder="1" applyAlignment="1">
      <alignment horizontal="center" vertical="top"/>
    </xf>
    <xf numFmtId="166" fontId="34" fillId="13" borderId="0" xfId="0" applyNumberFormat="1" applyFont="1" applyFill="1" applyBorder="1" applyAlignment="1">
      <alignment vertical="top"/>
    </xf>
    <xf numFmtId="0" fontId="36" fillId="0" borderId="0" xfId="0" applyFont="1"/>
    <xf numFmtId="3" fontId="37" fillId="0" borderId="0" xfId="0" applyNumberFormat="1" applyFont="1" applyAlignment="1">
      <alignment horizontal="center"/>
    </xf>
    <xf numFmtId="3" fontId="36" fillId="0" borderId="0" xfId="0" applyNumberFormat="1" applyFont="1" applyAlignment="1">
      <alignment horizontal="center"/>
    </xf>
    <xf numFmtId="3" fontId="36" fillId="0" borderId="0" xfId="0" applyNumberFormat="1" applyFont="1"/>
    <xf numFmtId="3" fontId="37" fillId="0" borderId="0" xfId="0" applyNumberFormat="1" applyFont="1"/>
    <xf numFmtId="0" fontId="37" fillId="0" borderId="0" xfId="0" applyFont="1"/>
    <xf numFmtId="0" fontId="27" fillId="0" borderId="0" xfId="0" applyFont="1" applyAlignment="1">
      <alignment vertical="top"/>
    </xf>
    <xf numFmtId="0" fontId="38" fillId="0" borderId="0" xfId="0" quotePrefix="1" applyFont="1" applyAlignment="1"/>
    <xf numFmtId="0" fontId="38" fillId="0" borderId="0" xfId="0" applyFont="1" applyAlignment="1"/>
    <xf numFmtId="0" fontId="0" fillId="0" borderId="0" xfId="0" applyFont="1" applyAlignment="1">
      <alignment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5" fillId="0" borderId="0" xfId="0" applyFont="1" applyAlignment="1">
      <alignment wrapText="1"/>
    </xf>
    <xf numFmtId="3" fontId="3" fillId="0" borderId="0" xfId="0" applyNumberFormat="1" applyFont="1" applyAlignment="1">
      <alignment wrapText="1"/>
    </xf>
    <xf numFmtId="3" fontId="3" fillId="4" borderId="0" xfId="0" applyNumberFormat="1" applyFont="1" applyFill="1" applyAlignment="1">
      <alignment wrapText="1"/>
    </xf>
    <xf numFmtId="3" fontId="0" fillId="0" borderId="0" xfId="0" applyNumberFormat="1" applyAlignment="1">
      <alignment wrapText="1"/>
    </xf>
    <xf numFmtId="0" fontId="15" fillId="0" borderId="0" xfId="0" applyFont="1"/>
    <xf numFmtId="14" fontId="15" fillId="0" borderId="0" xfId="0" applyNumberFormat="1" applyFont="1"/>
    <xf numFmtId="0" fontId="0" fillId="0" borderId="0" xfId="0" applyFill="1"/>
    <xf numFmtId="0" fontId="2" fillId="0" borderId="0" xfId="0" applyFont="1"/>
    <xf numFmtId="0" fontId="0" fillId="5" borderId="0" xfId="0" applyFill="1"/>
    <xf numFmtId="0" fontId="0" fillId="6" borderId="0" xfId="0" applyFill="1"/>
    <xf numFmtId="0" fontId="7" fillId="0" borderId="0" xfId="0" applyFont="1"/>
    <xf numFmtId="0" fontId="0" fillId="15" borderId="0" xfId="0" applyFill="1"/>
    <xf numFmtId="0" fontId="6" fillId="0" borderId="0" xfId="0" applyFont="1" applyAlignment="1">
      <alignment wrapText="1"/>
    </xf>
    <xf numFmtId="3" fontId="1" fillId="0" borderId="0" xfId="0" applyNumberFormat="1" applyFont="1"/>
    <xf numFmtId="3" fontId="13" fillId="0" borderId="0" xfId="0" applyNumberFormat="1" applyFont="1"/>
    <xf numFmtId="0" fontId="17" fillId="9" borderId="0" xfId="0" applyFont="1" applyFill="1" applyBorder="1" applyAlignment="1">
      <alignment horizontal="center" vertical="center"/>
    </xf>
    <xf numFmtId="0" fontId="9" fillId="9" borderId="0" xfId="0" applyFont="1" applyFill="1" applyBorder="1" applyAlignment="1">
      <alignment horizontal="center" vertical="center" wrapText="1"/>
    </xf>
    <xf numFmtId="3" fontId="9" fillId="3" borderId="0" xfId="0" applyNumberFormat="1" applyFont="1" applyFill="1" applyBorder="1" applyAlignment="1">
      <alignment horizontal="right"/>
    </xf>
    <xf numFmtId="3" fontId="9" fillId="9" borderId="0" xfId="0" applyNumberFormat="1" applyFont="1" applyFill="1" applyBorder="1" applyAlignment="1">
      <alignment horizontal="right"/>
    </xf>
    <xf numFmtId="0" fontId="19" fillId="0" borderId="8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0" fillId="0" borderId="2" xfId="0" applyBorder="1" applyAlignment="1">
      <alignment horizontal="right" vertical="center"/>
    </xf>
    <xf numFmtId="4" fontId="0" fillId="0" borderId="2" xfId="0" applyNumberFormat="1" applyBorder="1" applyAlignment="1">
      <alignment horizontal="right" vertical="center"/>
    </xf>
    <xf numFmtId="0" fontId="3" fillId="10" borderId="3" xfId="0" applyFont="1" applyFill="1" applyBorder="1" applyAlignment="1">
      <alignment horizontal="center" vertical="center" wrapText="1"/>
    </xf>
    <xf numFmtId="3" fontId="3" fillId="10" borderId="8" xfId="0" applyNumberFormat="1" applyFont="1" applyFill="1" applyBorder="1"/>
    <xf numFmtId="3" fontId="3" fillId="10" borderId="9" xfId="0" applyNumberFormat="1" applyFont="1" applyFill="1" applyBorder="1"/>
    <xf numFmtId="3" fontId="14" fillId="10" borderId="6" xfId="0" applyNumberFormat="1" applyFont="1" applyFill="1" applyBorder="1"/>
    <xf numFmtId="3" fontId="14" fillId="0" borderId="13" xfId="0" applyNumberFormat="1" applyFont="1" applyFill="1" applyBorder="1"/>
    <xf numFmtId="3" fontId="14" fillId="10" borderId="7" xfId="0" applyNumberFormat="1" applyFont="1" applyFill="1" applyBorder="1"/>
    <xf numFmtId="0" fontId="3" fillId="0" borderId="3" xfId="0" applyFont="1" applyBorder="1"/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jpeg"/><Relationship Id="rId1" Type="http://schemas.openxmlformats.org/officeDocument/2006/relationships/image" Target="../media/image4.png"/><Relationship Id="rId5" Type="http://schemas.openxmlformats.org/officeDocument/2006/relationships/image" Target="../media/image8.png"/><Relationship Id="rId4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9.png"/><Relationship Id="rId1" Type="http://schemas.openxmlformats.org/officeDocument/2006/relationships/image" Target="../media/image8.png"/><Relationship Id="rId4" Type="http://schemas.openxmlformats.org/officeDocument/2006/relationships/image" Target="../media/image1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552450</xdr:colOff>
      <xdr:row>12</xdr:row>
      <xdr:rowOff>88900</xdr:rowOff>
    </xdr:from>
    <xdr:to>
      <xdr:col>14</xdr:col>
      <xdr:colOff>165100</xdr:colOff>
      <xdr:row>18</xdr:row>
      <xdr:rowOff>120650</xdr:rowOff>
    </xdr:to>
    <xdr:pic>
      <xdr:nvPicPr>
        <xdr:cNvPr id="2" name="Kép 1" descr="Esbe VTA322 35-60°C Keverőszelep 1”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2908300"/>
          <a:ext cx="1441450" cy="144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304800</xdr:colOff>
      <xdr:row>9</xdr:row>
      <xdr:rowOff>69850</xdr:rowOff>
    </xdr:to>
    <xdr:sp macro="" textlink="">
      <xdr:nvSpPr>
        <xdr:cNvPr id="3" name="AutoShape 2" descr="Panasonic PAW-GRDSTD40 kültéri tartó konzol - CityKlíma"/>
        <xdr:cNvSpPr>
          <a:spLocks noChangeAspect="1" noChangeArrowheads="1"/>
        </xdr:cNvSpPr>
      </xdr:nvSpPr>
      <xdr:spPr bwMode="auto">
        <a:xfrm>
          <a:off x="8235950" y="1879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27514</xdr:colOff>
      <xdr:row>11</xdr:row>
      <xdr:rowOff>0</xdr:rowOff>
    </xdr:from>
    <xdr:to>
      <xdr:col>11</xdr:col>
      <xdr:colOff>273048</xdr:colOff>
      <xdr:row>17</xdr:row>
      <xdr:rowOff>146050</xdr:rowOff>
    </xdr:to>
    <xdr:pic>
      <xdr:nvPicPr>
        <xdr:cNvPr id="4" name="Kép 3" descr="Panasonic PAW-GRDSTD40 kültéri tartó konzol - CityKlím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2114" y="2584450"/>
          <a:ext cx="2074334" cy="155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355600</xdr:colOff>
      <xdr:row>7</xdr:row>
      <xdr:rowOff>44450</xdr:rowOff>
    </xdr:from>
    <xdr:to>
      <xdr:col>12</xdr:col>
      <xdr:colOff>187725</xdr:colOff>
      <xdr:row>13</xdr:row>
      <xdr:rowOff>12700</xdr:rowOff>
    </xdr:to>
    <xdr:pic>
      <xdr:nvPicPr>
        <xdr:cNvPr id="5" name="Kép 4" descr="Flamco Clean Smart 3/4 Iszapleválasztó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2900" y="1689100"/>
          <a:ext cx="1051325" cy="137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802861</xdr:colOff>
      <xdr:row>12</xdr:row>
      <xdr:rowOff>0</xdr:rowOff>
    </xdr:from>
    <xdr:to>
      <xdr:col>0</xdr:col>
      <xdr:colOff>1655970</xdr:colOff>
      <xdr:row>1048576</xdr:row>
      <xdr:rowOff>826190</xdr:rowOff>
    </xdr:to>
    <xdr:pic>
      <xdr:nvPicPr>
        <xdr:cNvPr id="2" name="Kép 1" descr="https://efutesszerelo.hu/wp-content/uploads/2020/02/vez%C3%A9rl%C3%A9s-wifi-termoszt%C3%A1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861" y="48547682"/>
          <a:ext cx="853109" cy="8261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99390</xdr:colOff>
      <xdr:row>12</xdr:row>
      <xdr:rowOff>0</xdr:rowOff>
    </xdr:from>
    <xdr:to>
      <xdr:col>3</xdr:col>
      <xdr:colOff>285180</xdr:colOff>
      <xdr:row>1048576</xdr:row>
      <xdr:rowOff>909431</xdr:rowOff>
    </xdr:to>
    <xdr:pic>
      <xdr:nvPicPr>
        <xdr:cNvPr id="3" name="Kép 2" descr="https://www.infrafutesszaki.hu/wp-content/uploads/2015/03/infrafilm-beszerz%C3%A9s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7840" y="48573084"/>
          <a:ext cx="966840" cy="9094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271392</xdr:colOff>
      <xdr:row>12</xdr:row>
      <xdr:rowOff>0</xdr:rowOff>
    </xdr:from>
    <xdr:to>
      <xdr:col>5</xdr:col>
      <xdr:colOff>618433</xdr:colOff>
      <xdr:row>1048576</xdr:row>
      <xdr:rowOff>771939</xdr:rowOff>
    </xdr:to>
    <xdr:pic>
      <xdr:nvPicPr>
        <xdr:cNvPr id="4" name="Kép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7192" y="48645693"/>
          <a:ext cx="1280491" cy="77193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374650</xdr:colOff>
      <xdr:row>12</xdr:row>
      <xdr:rowOff>0</xdr:rowOff>
    </xdr:from>
    <xdr:to>
      <xdr:col>8</xdr:col>
      <xdr:colOff>44450</xdr:colOff>
      <xdr:row>1048576</xdr:row>
      <xdr:rowOff>850249</xdr:rowOff>
    </xdr:to>
    <xdr:pic>
      <xdr:nvPicPr>
        <xdr:cNvPr id="5" name="Kép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48444150"/>
          <a:ext cx="1485900" cy="850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590550</xdr:colOff>
      <xdr:row>6</xdr:row>
      <xdr:rowOff>0</xdr:rowOff>
    </xdr:from>
    <xdr:to>
      <xdr:col>1</xdr:col>
      <xdr:colOff>159598</xdr:colOff>
      <xdr:row>9</xdr:row>
      <xdr:rowOff>31750</xdr:rowOff>
    </xdr:to>
    <xdr:pic>
      <xdr:nvPicPr>
        <xdr:cNvPr id="6" name="Kép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0"/>
          <a:ext cx="1677248" cy="7683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6</xdr:row>
      <xdr:rowOff>0</xdr:rowOff>
    </xdr:from>
    <xdr:to>
      <xdr:col>0</xdr:col>
      <xdr:colOff>2267798</xdr:colOff>
      <xdr:row>9</xdr:row>
      <xdr:rowOff>31750</xdr:rowOff>
    </xdr:to>
    <xdr:pic>
      <xdr:nvPicPr>
        <xdr:cNvPr id="9" name="Kép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0"/>
          <a:ext cx="1677248" cy="768350"/>
        </a:xfrm>
        <a:prstGeom prst="rect">
          <a:avLst/>
        </a:prstGeom>
      </xdr:spPr>
    </xdr:pic>
    <xdr:clientData/>
  </xdr:twoCellAnchor>
  <xdr:twoCellAnchor editAs="oneCell">
    <xdr:from>
      <xdr:col>7</xdr:col>
      <xdr:colOff>311150</xdr:colOff>
      <xdr:row>48</xdr:row>
      <xdr:rowOff>177800</xdr:rowOff>
    </xdr:from>
    <xdr:to>
      <xdr:col>7</xdr:col>
      <xdr:colOff>494847</xdr:colOff>
      <xdr:row>49</xdr:row>
      <xdr:rowOff>158750</xdr:rowOff>
    </xdr:to>
    <xdr:pic>
      <xdr:nvPicPr>
        <xdr:cNvPr id="3" name="Kép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8250" y="9150350"/>
          <a:ext cx="183697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298451</xdr:colOff>
      <xdr:row>40</xdr:row>
      <xdr:rowOff>59908</xdr:rowOff>
    </xdr:from>
    <xdr:to>
      <xdr:col>7</xdr:col>
      <xdr:colOff>508001</xdr:colOff>
      <xdr:row>41</xdr:row>
      <xdr:rowOff>63499</xdr:rowOff>
    </xdr:to>
    <xdr:pic>
      <xdr:nvPicPr>
        <xdr:cNvPr id="4" name="Kép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5551" y="7203658"/>
          <a:ext cx="209550" cy="194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285751</xdr:colOff>
      <xdr:row>41</xdr:row>
      <xdr:rowOff>41796</xdr:rowOff>
    </xdr:from>
    <xdr:to>
      <xdr:col>7</xdr:col>
      <xdr:colOff>508001</xdr:colOff>
      <xdr:row>42</xdr:row>
      <xdr:rowOff>57150</xdr:rowOff>
    </xdr:to>
    <xdr:pic>
      <xdr:nvPicPr>
        <xdr:cNvPr id="5" name="Kép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2851" y="7414146"/>
          <a:ext cx="222250" cy="2058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292101</xdr:colOff>
      <xdr:row>42</xdr:row>
      <xdr:rowOff>41796</xdr:rowOff>
    </xdr:from>
    <xdr:to>
      <xdr:col>7</xdr:col>
      <xdr:colOff>514351</xdr:colOff>
      <xdr:row>43</xdr:row>
      <xdr:rowOff>57150</xdr:rowOff>
    </xdr:to>
    <xdr:pic>
      <xdr:nvPicPr>
        <xdr:cNvPr id="6" name="Kép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9201" y="7642746"/>
          <a:ext cx="222250" cy="2058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285751</xdr:colOff>
      <xdr:row>43</xdr:row>
      <xdr:rowOff>35446</xdr:rowOff>
    </xdr:from>
    <xdr:to>
      <xdr:col>7</xdr:col>
      <xdr:colOff>508001</xdr:colOff>
      <xdr:row>44</xdr:row>
      <xdr:rowOff>50800</xdr:rowOff>
    </xdr:to>
    <xdr:pic>
      <xdr:nvPicPr>
        <xdr:cNvPr id="7" name="Kép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2851" y="7864996"/>
          <a:ext cx="222250" cy="2058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285751</xdr:colOff>
      <xdr:row>44</xdr:row>
      <xdr:rowOff>22746</xdr:rowOff>
    </xdr:from>
    <xdr:to>
      <xdr:col>7</xdr:col>
      <xdr:colOff>508001</xdr:colOff>
      <xdr:row>45</xdr:row>
      <xdr:rowOff>38100</xdr:rowOff>
    </xdr:to>
    <xdr:pic>
      <xdr:nvPicPr>
        <xdr:cNvPr id="8" name="Kép 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2851" y="8080896"/>
          <a:ext cx="222250" cy="2058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292101</xdr:colOff>
      <xdr:row>45</xdr:row>
      <xdr:rowOff>22746</xdr:rowOff>
    </xdr:from>
    <xdr:to>
      <xdr:col>7</xdr:col>
      <xdr:colOff>514351</xdr:colOff>
      <xdr:row>46</xdr:row>
      <xdr:rowOff>38100</xdr:rowOff>
    </xdr:to>
    <xdr:pic>
      <xdr:nvPicPr>
        <xdr:cNvPr id="10" name="Kép 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9201" y="8309496"/>
          <a:ext cx="222250" cy="2058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292101</xdr:colOff>
      <xdr:row>46</xdr:row>
      <xdr:rowOff>48146</xdr:rowOff>
    </xdr:from>
    <xdr:to>
      <xdr:col>7</xdr:col>
      <xdr:colOff>514351</xdr:colOff>
      <xdr:row>47</xdr:row>
      <xdr:rowOff>63500</xdr:rowOff>
    </xdr:to>
    <xdr:pic>
      <xdr:nvPicPr>
        <xdr:cNvPr id="11" name="Kép 1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9201" y="8563496"/>
          <a:ext cx="222250" cy="2058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285751</xdr:colOff>
      <xdr:row>47</xdr:row>
      <xdr:rowOff>29096</xdr:rowOff>
    </xdr:from>
    <xdr:to>
      <xdr:col>7</xdr:col>
      <xdr:colOff>508001</xdr:colOff>
      <xdr:row>48</xdr:row>
      <xdr:rowOff>44450</xdr:rowOff>
    </xdr:to>
    <xdr:pic>
      <xdr:nvPicPr>
        <xdr:cNvPr id="12" name="Kép 1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2851" y="8773046"/>
          <a:ext cx="222250" cy="2058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590550</xdr:colOff>
      <xdr:row>11</xdr:row>
      <xdr:rowOff>152400</xdr:rowOff>
    </xdr:from>
    <xdr:to>
      <xdr:col>7</xdr:col>
      <xdr:colOff>526902</xdr:colOff>
      <xdr:row>18</xdr:row>
      <xdr:rowOff>114300</xdr:rowOff>
    </xdr:to>
    <xdr:pic>
      <xdr:nvPicPr>
        <xdr:cNvPr id="2" name="Kép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6300" y="2667000"/>
          <a:ext cx="2851002" cy="125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590550</xdr:colOff>
      <xdr:row>41</xdr:row>
      <xdr:rowOff>152400</xdr:rowOff>
    </xdr:from>
    <xdr:ext cx="2851002" cy="1250950"/>
    <xdr:pic>
      <xdr:nvPicPr>
        <xdr:cNvPr id="3" name="Kép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6300" y="8686800"/>
          <a:ext cx="2851002" cy="125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3</xdr:col>
      <xdr:colOff>590550</xdr:colOff>
      <xdr:row>11</xdr:row>
      <xdr:rowOff>152400</xdr:rowOff>
    </xdr:from>
    <xdr:to>
      <xdr:col>7</xdr:col>
      <xdr:colOff>526902</xdr:colOff>
      <xdr:row>18</xdr:row>
      <xdr:rowOff>114300</xdr:rowOff>
    </xdr:to>
    <xdr:pic>
      <xdr:nvPicPr>
        <xdr:cNvPr id="4" name="Kép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6300" y="2667000"/>
          <a:ext cx="2851002" cy="125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590550</xdr:colOff>
      <xdr:row>41</xdr:row>
      <xdr:rowOff>152400</xdr:rowOff>
    </xdr:from>
    <xdr:ext cx="2851002" cy="1250950"/>
    <xdr:pic>
      <xdr:nvPicPr>
        <xdr:cNvPr id="5" name="Kép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6300" y="8686800"/>
          <a:ext cx="2851002" cy="125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hena.h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://stafeta.hu/webshop/szerelesi-anyagok/szekrenyek-lakaselosztok-es-tartozekaik/foldelo-es-fesus-sinek" TargetMode="External"/><Relationship Id="rId18" Type="http://schemas.openxmlformats.org/officeDocument/2006/relationships/hyperlink" Target="http://stafeta.hu/webshop/szerelesi-anyagok/csovek-csatornak-dobozok/sullyesztett-dobozok" TargetMode="External"/><Relationship Id="rId26" Type="http://schemas.openxmlformats.org/officeDocument/2006/relationships/hyperlink" Target="http://stafeta.hu/webshop/vezetekek-es-kabelek/pvc-szigetelesu-erosaramu-foldkabelek-0-6-1kv/nyy-0-6-1-kv-kisfeszultsegu-eroatviteli-kabel" TargetMode="External"/><Relationship Id="rId39" Type="http://schemas.openxmlformats.org/officeDocument/2006/relationships/hyperlink" Target="https://stafeta.hu/webshop/vezetekek-es-kabelek/pvc-szigetelesu-vezetekek/h07v-k-pvc-szigetelesu-hajlekony-vezetek-450-750v" TargetMode="External"/><Relationship Id="rId21" Type="http://schemas.openxmlformats.org/officeDocument/2006/relationships/hyperlink" Target="http://stafeta.hu/webshop/vezetekek-es-kabelek/pvc-szigetelesu-kabelek/nym-pvc-szigetelesu-merev-kiskabel" TargetMode="External"/><Relationship Id="rId34" Type="http://schemas.openxmlformats.org/officeDocument/2006/relationships/hyperlink" Target="http://stafeta.hu/webshop/szerelesi-anyagok/egyeb-kellekanyagok/sodronykotel-es-szerelvenyei" TargetMode="External"/><Relationship Id="rId42" Type="http://schemas.openxmlformats.org/officeDocument/2006/relationships/hyperlink" Target="http://stafeta.hu/webshop/kisfeszultsegu-keszulekek/eti/eti-kismegszakitok" TargetMode="External"/><Relationship Id="rId47" Type="http://schemas.openxmlformats.org/officeDocument/2006/relationships/hyperlink" Target="http://stafeta.hu/webshop/vezetekek-es-kabelek/pvc-szigetelesu-erosaramu-foldkabelek-0-6-1kv/nyy-0-6-1-kv-kisfeszultsegu-eroatviteli-kabel" TargetMode="External"/><Relationship Id="rId50" Type="http://schemas.openxmlformats.org/officeDocument/2006/relationships/hyperlink" Target="http://stafeta.hu/webshop/villamvedelem/foldelo-szondak/keresztfoldelo-1-5-m-zaszlos" TargetMode="External"/><Relationship Id="rId7" Type="http://schemas.openxmlformats.org/officeDocument/2006/relationships/hyperlink" Target="http://stafeta.hu/webshop/szerelesi-anyagok/csovek-csatornak-dobozok/gegecso-fali" TargetMode="External"/><Relationship Id="rId2" Type="http://schemas.openxmlformats.org/officeDocument/2006/relationships/hyperlink" Target="http://stafeta.hu/webshop/szerelesi-anyagok/csovek-csatornak-dobozok/mu-iii-cso" TargetMode="External"/><Relationship Id="rId16" Type="http://schemas.openxmlformats.org/officeDocument/2006/relationships/hyperlink" Target="http://stafeta.hu/webshop/szerelesi-anyagok/csovek-csatornak-dobozok/sullyesztett-dobozok" TargetMode="External"/><Relationship Id="rId29" Type="http://schemas.openxmlformats.org/officeDocument/2006/relationships/hyperlink" Target="http://stafeta.hu/webshop/vezetekek-es-kabelek/szamitogep-kabelek-es-csatlakozok/utp-ftp-lan-kabelek/utp-4x2xawg23-cat6-szam-gep-rez-305m" TargetMode="External"/><Relationship Id="rId11" Type="http://schemas.openxmlformats.org/officeDocument/2006/relationships/hyperlink" Target="http://stafeta.hu/webshop/vezetekek-es-kabelek/pvc-szigetelesu-kabelek/nym-pvc-szigetelesu-merev-kiskabel" TargetMode="External"/><Relationship Id="rId24" Type="http://schemas.openxmlformats.org/officeDocument/2006/relationships/hyperlink" Target="http://stafeta.hu/webshop/szerelesi-anyagok/szekrenyek-lakaselosztok-es-tartozekaik/eti-muanyag-lakaselosztok" TargetMode="External"/><Relationship Id="rId32" Type="http://schemas.openxmlformats.org/officeDocument/2006/relationships/hyperlink" Target="http://stafeta.hu/webshop/szerelesi-anyagok/szekrenyek-lakaselosztok-es-tartozekaik/szekreny-tartozekok-es-allvanyok/guman-sapka-2-5-os-tb-2-5" TargetMode="External"/><Relationship Id="rId37" Type="http://schemas.openxmlformats.org/officeDocument/2006/relationships/hyperlink" Target="https://stafeta.hu/webshop/vezetekek-es-kabelek/pvc-szigetelesu-vezetekek/h07v-u-pvc-szigetelesu-merev-vezetek-450-750v" TargetMode="External"/><Relationship Id="rId40" Type="http://schemas.openxmlformats.org/officeDocument/2006/relationships/hyperlink" Target="http://stafeta.hu/webshop/szerelesi-anyagok/szekrenyek-lakaselosztok-es-tartozekaik/foldelo-es-fesus-sinek" TargetMode="External"/><Relationship Id="rId45" Type="http://schemas.openxmlformats.org/officeDocument/2006/relationships/hyperlink" Target="http://stafeta.hu/webshop/szerelesi-anyagok/csovek-csatornak-dobozok/gegecso-betonba" TargetMode="External"/><Relationship Id="rId53" Type="http://schemas.openxmlformats.org/officeDocument/2006/relationships/hyperlink" Target="http://stafeta.hu/webshop/szerelesi-anyagok/csovek-csatornak-dobozok/sullyesztett-dobozok" TargetMode="External"/><Relationship Id="rId5" Type="http://schemas.openxmlformats.org/officeDocument/2006/relationships/hyperlink" Target="http://stafeta.hu/webshop/szerelesi-anyagok/csovek-csatornak-dobozok/gegecso-fali" TargetMode="External"/><Relationship Id="rId10" Type="http://schemas.openxmlformats.org/officeDocument/2006/relationships/hyperlink" Target="http://stafeta.hu/webshop/vezetekek-es-kabelek/pvc-szigetelesu-kabelek/nym-pvc-szigetelesu-merev-kiskabel" TargetMode="External"/><Relationship Id="rId19" Type="http://schemas.openxmlformats.org/officeDocument/2006/relationships/hyperlink" Target="http://stafeta.hu/webshop/szerelesi-anyagok/csovek-csatornak-dobozok/gipszkarton-dobozok" TargetMode="External"/><Relationship Id="rId31" Type="http://schemas.openxmlformats.org/officeDocument/2006/relationships/hyperlink" Target="http://stafeta.hu/webshop/villamvedelem/foldelo-szondak/keresztfoldelo-1-5-m-zaszlos" TargetMode="External"/><Relationship Id="rId44" Type="http://schemas.openxmlformats.org/officeDocument/2006/relationships/hyperlink" Target="https://elektrobagoly.hu/acti9-idpna-kombinalt-aramvedokapcsolo-a-osztalyu-1p-n-c-16a-10ma-a9d05616.html" TargetMode="External"/><Relationship Id="rId52" Type="http://schemas.openxmlformats.org/officeDocument/2006/relationships/hyperlink" Target="http://stafeta.hu/webshop/szerelesi-anyagok/csovek-csatornak-dobozok/sullyesztett-dobozok" TargetMode="External"/><Relationship Id="rId4" Type="http://schemas.openxmlformats.org/officeDocument/2006/relationships/hyperlink" Target="http://stafeta.hu/webshop/szerelesi-anyagok/csovek-csatornak-dobozok/gegecso-fali" TargetMode="External"/><Relationship Id="rId9" Type="http://schemas.openxmlformats.org/officeDocument/2006/relationships/hyperlink" Target="https://stafeta.hu/webshop/vezetekek-es-kabelek/pvc-szigetelesu-kabelek/h05vv-f-pvc-szigetelesu-hajlekony-kiskabel" TargetMode="External"/><Relationship Id="rId14" Type="http://schemas.openxmlformats.org/officeDocument/2006/relationships/hyperlink" Target="http://stafeta.hu/webshop/villamvedelem/eph-bilincs-es-kapocs" TargetMode="External"/><Relationship Id="rId22" Type="http://schemas.openxmlformats.org/officeDocument/2006/relationships/hyperlink" Target="http://stafeta.hu/webshop/kisfeszultsegu-keszulekek/eti/eti-kismegszakitok" TargetMode="External"/><Relationship Id="rId27" Type="http://schemas.openxmlformats.org/officeDocument/2006/relationships/hyperlink" Target="http://stafeta.hu/webshop/vezetekek-es-kabelek/pvc-szigetelesu-erosaramu-foldkabelek-0-6-1kv/nyy-0-6-1-kv-kisfeszultsegu-eroatviteli-kabel" TargetMode="External"/><Relationship Id="rId30" Type="http://schemas.openxmlformats.org/officeDocument/2006/relationships/hyperlink" Target="http://stafeta.hu/webshop/kisfeszultsegu-keszulekek/eti/eti-hibaaram-vedokapcsolok" TargetMode="External"/><Relationship Id="rId35" Type="http://schemas.openxmlformats.org/officeDocument/2006/relationships/hyperlink" Target="http://stafeta.hu/webshop/szerelesi-anyagok/egyeb-kellekanyagok/sodronykotel-es-szerelvenyei" TargetMode="External"/><Relationship Id="rId43" Type="http://schemas.openxmlformats.org/officeDocument/2006/relationships/hyperlink" Target="http://stafeta.hu/webshop/kisfeszultsegu-keszulekek/eti/eti-hibaaram-vedokapcsolok" TargetMode="External"/><Relationship Id="rId48" Type="http://schemas.openxmlformats.org/officeDocument/2006/relationships/hyperlink" Target="http://stafeta.hu/webshop/vezetekek-es-kabelek/pvc-szigetelesu-erosaramu-foldkabelek-0-6-1kv/nyy-0-6-1-kv-kisfeszultsegu-eroatviteli-kabel" TargetMode="External"/><Relationship Id="rId8" Type="http://schemas.openxmlformats.org/officeDocument/2006/relationships/hyperlink" Target="http://stafeta.hu/webshop/kisfeszultsegu-keszulekek/eti/eti-kismegszakitok" TargetMode="External"/><Relationship Id="rId51" Type="http://schemas.openxmlformats.org/officeDocument/2006/relationships/hyperlink" Target="http://stafeta.hu/webshop/szerelesi-anyagok/csovek-csatornak-dobozok/sullyesztett-dobozok" TargetMode="External"/><Relationship Id="rId3" Type="http://schemas.openxmlformats.org/officeDocument/2006/relationships/hyperlink" Target="http://stafeta.hu/webshop/szerelesi-anyagok/csovek-csatornak-dobozok/gegecso-fali" TargetMode="External"/><Relationship Id="rId12" Type="http://schemas.openxmlformats.org/officeDocument/2006/relationships/hyperlink" Target="http://stafeta.hu/webshop/szerelesi-anyagok/szekrenyek-lakaselosztok-es-tartozekaik/hensel-tartozekok" TargetMode="External"/><Relationship Id="rId17" Type="http://schemas.openxmlformats.org/officeDocument/2006/relationships/hyperlink" Target="http://stafeta.hu/webshop/szerelesi-anyagok/csovek-csatornak-dobozok/sullyesztett-dobozok" TargetMode="External"/><Relationship Id="rId25" Type="http://schemas.openxmlformats.org/officeDocument/2006/relationships/hyperlink" Target="http://stafeta.hu/webshop/szerelesi-anyagok/szekrenyek-lakaselosztok-es-tartozekaik/eti-muanyag-lakaselosztok" TargetMode="External"/><Relationship Id="rId33" Type="http://schemas.openxmlformats.org/officeDocument/2006/relationships/hyperlink" Target="http://stafeta.hu/webshop/vezetekek-es-kabelek/legkabelek-szabadvezetekek/aasc-aluminium-szabadvezetek-sodrony" TargetMode="External"/><Relationship Id="rId38" Type="http://schemas.openxmlformats.org/officeDocument/2006/relationships/hyperlink" Target="https://stafeta.hu/webshop/vezetekek-es-kabelek/pvc-szigetelesu-vezetekek/h07v-k-pvc-szigetelesu-hajlekony-vezetek-450-750v" TargetMode="External"/><Relationship Id="rId46" Type="http://schemas.openxmlformats.org/officeDocument/2006/relationships/hyperlink" Target="http://stafeta.hu/webshop/szerelesi-anyagok/csovek-csatornak-dobozok/gegecso-betonba" TargetMode="External"/><Relationship Id="rId20" Type="http://schemas.openxmlformats.org/officeDocument/2006/relationships/hyperlink" Target="http://stafeta.hu/webshop/szerelesi-anyagok/csovek-csatornak-dobozok/gipszkarton-dobozok" TargetMode="External"/><Relationship Id="rId41" Type="http://schemas.openxmlformats.org/officeDocument/2006/relationships/hyperlink" Target="http://stafeta.hu/webshop/kisfeszultsegu-keszulekek/eti/eti-kismegszakitok" TargetMode="External"/><Relationship Id="rId54" Type="http://schemas.openxmlformats.org/officeDocument/2006/relationships/hyperlink" Target="http://stafeta.hu/webshop/szerelesi-anyagok/egyeb-kellekanyagok/csobilincsek" TargetMode="External"/><Relationship Id="rId1" Type="http://schemas.openxmlformats.org/officeDocument/2006/relationships/hyperlink" Target="http://stafeta.hu/webshop/szerelesi-anyagok/csovek-csatornak-dobozok/mu-iii-cso" TargetMode="External"/><Relationship Id="rId6" Type="http://schemas.openxmlformats.org/officeDocument/2006/relationships/hyperlink" Target="http://stafeta.hu/webshop/szerelesi-anyagok/csovek-csatornak-dobozok/gegecso-fali" TargetMode="External"/><Relationship Id="rId15" Type="http://schemas.openxmlformats.org/officeDocument/2006/relationships/hyperlink" Target="http://stafeta.hu/webshop/szerelesi-anyagok/szekrenyek-lakaselosztok-es-tartozekaik/eti-muanyag-lakaselosztok" TargetMode="External"/><Relationship Id="rId23" Type="http://schemas.openxmlformats.org/officeDocument/2006/relationships/hyperlink" Target="http://stafeta.hu/webshop/szerelesi-anyagok/szekrenyek-lakaselosztok-es-tartozekaik/eti-muanyag-lakaselosztok" TargetMode="External"/><Relationship Id="rId28" Type="http://schemas.openxmlformats.org/officeDocument/2006/relationships/hyperlink" Target="http://stafeta.hu/webshop/vezetekek-es-kabelek/koax-kabelek-es-csatlakozok/rg-koax-kabelek/rg-6u-ca-3-x-arny-rez-feher-koax-100m-es" TargetMode="External"/><Relationship Id="rId36" Type="http://schemas.openxmlformats.org/officeDocument/2006/relationships/hyperlink" Target="https://stafeta.hu/webshop/vezetekek-es-kabelek/pvc-szigetelesu-vezetekek/h07v-u-pvc-szigetelesu-merev-vezetek-450-750v" TargetMode="External"/><Relationship Id="rId49" Type="http://schemas.openxmlformats.org/officeDocument/2006/relationships/hyperlink" Target="http://stafeta.hu/webshop/szerelesi-anyagok/egyeb-kellekanyagok/sodronykotel-es-szerelvenyei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info@hena.hu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mailto:zsuzska.seprenyi@gmail.com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C6" sqref="C6"/>
    </sheetView>
  </sheetViews>
  <sheetFormatPr defaultColWidth="9.1796875" defaultRowHeight="18.5" x14ac:dyDescent="0.45"/>
  <cols>
    <col min="1" max="1" width="9.1796875" style="142"/>
    <col min="2" max="2" width="34.7265625" style="142" bestFit="1" customWidth="1"/>
    <col min="3" max="3" width="11" style="145" bestFit="1" customWidth="1"/>
    <col min="4" max="4" width="8.453125" style="145" bestFit="1" customWidth="1"/>
    <col min="5" max="5" width="12.453125" style="145" bestFit="1" customWidth="1"/>
    <col min="6" max="6" width="11.7265625" style="145" bestFit="1" customWidth="1"/>
    <col min="7" max="7" width="8.453125" style="145" bestFit="1" customWidth="1"/>
    <col min="8" max="8" width="12.7265625" style="145" bestFit="1" customWidth="1"/>
    <col min="9" max="16384" width="9.1796875" style="142"/>
  </cols>
  <sheetData>
    <row r="1" spans="1:10" x14ac:dyDescent="0.45">
      <c r="C1" s="143" t="s">
        <v>99</v>
      </c>
      <c r="D1" s="143" t="s">
        <v>100</v>
      </c>
      <c r="E1" s="143" t="s">
        <v>101</v>
      </c>
      <c r="F1" s="143" t="s">
        <v>28</v>
      </c>
      <c r="G1" s="143" t="s">
        <v>100</v>
      </c>
      <c r="H1" s="143" t="s">
        <v>101</v>
      </c>
    </row>
    <row r="2" spans="1:10" x14ac:dyDescent="0.45">
      <c r="A2" s="142" t="s">
        <v>102</v>
      </c>
      <c r="B2" s="142" t="s">
        <v>103</v>
      </c>
      <c r="C2" s="144">
        <v>35000</v>
      </c>
      <c r="D2" s="144">
        <f>C2*0.27</f>
        <v>9450</v>
      </c>
      <c r="E2" s="144">
        <f>C2+D2</f>
        <v>44450</v>
      </c>
      <c r="F2" s="144">
        <v>50000</v>
      </c>
      <c r="G2" s="144"/>
    </row>
    <row r="3" spans="1:10" x14ac:dyDescent="0.45">
      <c r="A3" s="142" t="s">
        <v>102</v>
      </c>
      <c r="B3" s="142" t="s">
        <v>104</v>
      </c>
      <c r="C3" s="144">
        <v>40000</v>
      </c>
      <c r="D3" s="144">
        <f>C3*0.27</f>
        <v>10800</v>
      </c>
      <c r="E3" s="144">
        <f>C3+D3</f>
        <v>50800</v>
      </c>
      <c r="F3" s="144">
        <v>50000</v>
      </c>
      <c r="G3" s="144"/>
    </row>
    <row r="4" spans="1:10" x14ac:dyDescent="0.45">
      <c r="C4" s="144">
        <f>SUM(C2:C3)</f>
        <v>75000</v>
      </c>
      <c r="D4" s="144"/>
      <c r="E4" s="144">
        <f>SUM(E2:E3)</f>
        <v>95250</v>
      </c>
      <c r="F4" s="144">
        <f>SUM(F2:F3)</f>
        <v>100000</v>
      </c>
      <c r="G4" s="144"/>
    </row>
    <row r="5" spans="1:10" x14ac:dyDescent="0.45">
      <c r="C5" s="144"/>
      <c r="D5" s="144"/>
      <c r="E5" s="144"/>
      <c r="F5" s="144"/>
      <c r="G5" s="144"/>
    </row>
    <row r="6" spans="1:10" x14ac:dyDescent="0.45">
      <c r="C6" s="144"/>
      <c r="D6" s="144"/>
      <c r="E6" s="144"/>
      <c r="F6" s="144"/>
      <c r="G6" s="144"/>
    </row>
    <row r="7" spans="1:10" x14ac:dyDescent="0.45">
      <c r="A7" s="142" t="s">
        <v>105</v>
      </c>
      <c r="B7" s="142" t="s">
        <v>106</v>
      </c>
      <c r="C7" s="144">
        <v>20000</v>
      </c>
      <c r="D7" s="144">
        <f t="shared" ref="D7:D12" si="0">C7*0.27</f>
        <v>5400</v>
      </c>
      <c r="E7" s="144">
        <f t="shared" ref="E7:E13" si="1">C7+D7</f>
        <v>25400</v>
      </c>
      <c r="F7" s="144"/>
      <c r="G7" s="144"/>
    </row>
    <row r="8" spans="1:10" x14ac:dyDescent="0.45">
      <c r="A8" s="142" t="s">
        <v>105</v>
      </c>
      <c r="B8" s="142" t="s">
        <v>107</v>
      </c>
      <c r="C8" s="144">
        <v>30000</v>
      </c>
      <c r="D8" s="144">
        <f t="shared" si="0"/>
        <v>8100.0000000000009</v>
      </c>
      <c r="E8" s="144">
        <f t="shared" si="1"/>
        <v>38100</v>
      </c>
      <c r="F8" s="144"/>
      <c r="G8" s="144"/>
    </row>
    <row r="9" spans="1:10" x14ac:dyDescent="0.45">
      <c r="A9" s="142" t="s">
        <v>105</v>
      </c>
      <c r="B9" s="142" t="s">
        <v>108</v>
      </c>
      <c r="C9" s="144">
        <v>20000</v>
      </c>
      <c r="D9" s="144">
        <f t="shared" si="0"/>
        <v>5400</v>
      </c>
      <c r="E9" s="144">
        <f t="shared" si="1"/>
        <v>25400</v>
      </c>
      <c r="F9" s="144"/>
      <c r="G9" s="144"/>
      <c r="J9"/>
    </row>
    <row r="10" spans="1:10" x14ac:dyDescent="0.45">
      <c r="A10" s="142" t="s">
        <v>105</v>
      </c>
      <c r="B10" s="142" t="s">
        <v>109</v>
      </c>
      <c r="C10" s="144">
        <v>35000</v>
      </c>
      <c r="D10" s="144">
        <f t="shared" si="0"/>
        <v>9450</v>
      </c>
      <c r="E10" s="144">
        <f t="shared" si="1"/>
        <v>44450</v>
      </c>
      <c r="F10" s="144"/>
      <c r="G10" s="144"/>
    </row>
    <row r="11" spans="1:10" x14ac:dyDescent="0.45">
      <c r="A11" s="142" t="s">
        <v>105</v>
      </c>
      <c r="B11" s="142" t="s">
        <v>110</v>
      </c>
      <c r="C11" s="144">
        <v>26000</v>
      </c>
      <c r="D11" s="144">
        <f t="shared" si="0"/>
        <v>7020.0000000000009</v>
      </c>
      <c r="E11" s="144">
        <f t="shared" si="1"/>
        <v>33020</v>
      </c>
      <c r="F11" s="144"/>
      <c r="G11" s="144"/>
    </row>
    <row r="12" spans="1:10" x14ac:dyDescent="0.45">
      <c r="A12" s="142" t="s">
        <v>105</v>
      </c>
      <c r="B12" s="142" t="s">
        <v>111</v>
      </c>
      <c r="C12" s="144">
        <v>50000</v>
      </c>
      <c r="D12" s="144">
        <f t="shared" si="0"/>
        <v>13500</v>
      </c>
      <c r="E12" s="144">
        <f t="shared" si="1"/>
        <v>63500</v>
      </c>
      <c r="F12" s="144"/>
      <c r="G12" s="144"/>
      <c r="J12"/>
    </row>
    <row r="13" spans="1:10" x14ac:dyDescent="0.45">
      <c r="C13" s="144">
        <f>SUM(C7:C12)</f>
        <v>181000</v>
      </c>
      <c r="D13" s="144">
        <f>SUM(D7:D12)</f>
        <v>48870</v>
      </c>
      <c r="E13" s="143">
        <f t="shared" si="1"/>
        <v>229870</v>
      </c>
      <c r="F13" s="144">
        <v>250000</v>
      </c>
      <c r="G13" s="144">
        <f>F13*0.27</f>
        <v>67500</v>
      </c>
      <c r="H13" s="146">
        <f>F13+G13</f>
        <v>317500</v>
      </c>
    </row>
    <row r="15" spans="1:10" x14ac:dyDescent="0.45">
      <c r="B15" s="147" t="s">
        <v>112</v>
      </c>
      <c r="C15" s="146"/>
      <c r="D15" s="146"/>
      <c r="E15" s="143">
        <f>E13+H13</f>
        <v>547370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7:AD12"/>
  <sheetViews>
    <sheetView showGridLines="0" view="pageLayout" topLeftCell="A7" zoomScaleNormal="100" zoomScaleSheetLayoutView="115" workbookViewId="0">
      <selection activeCell="A7" sqref="A7"/>
    </sheetView>
  </sheetViews>
  <sheetFormatPr defaultColWidth="0" defaultRowHeight="0" customHeight="1" zeroHeight="1" x14ac:dyDescent="0.35"/>
  <cols>
    <col min="1" max="1" width="29.453125" customWidth="1"/>
    <col min="2" max="2" width="10.1796875" customWidth="1"/>
    <col min="3" max="3" width="10.90625" customWidth="1"/>
    <col min="4" max="4" width="12.26953125" customWidth="1"/>
    <col min="5" max="5" width="13" customWidth="1"/>
    <col min="6" max="6" width="16.54296875" customWidth="1"/>
    <col min="7" max="7" width="10.36328125" customWidth="1"/>
    <col min="8" max="8" width="15" customWidth="1"/>
    <col min="9" max="14" width="9.26953125" customWidth="1"/>
    <col min="15" max="15" width="8.453125" customWidth="1"/>
    <col min="16" max="16" width="9.453125" customWidth="1"/>
    <col min="17" max="21" width="9.08984375" customWidth="1"/>
    <col min="22" max="22" width="8.6328125" customWidth="1"/>
    <col min="23" max="23" width="19.453125" customWidth="1"/>
    <col min="24" max="24" width="14.54296875" customWidth="1"/>
    <col min="25" max="25" width="5.81640625" customWidth="1"/>
    <col min="26" max="26" width="7.6328125" customWidth="1"/>
    <col min="27" max="27" width="10.54296875" customWidth="1"/>
    <col min="28" max="30" width="9.36328125" customWidth="1"/>
    <col min="31" max="16384" width="9.08984375" hidden="1"/>
  </cols>
  <sheetData>
    <row r="7" spans="1:20" ht="21.9" customHeight="1" x14ac:dyDescent="0.8">
      <c r="A7" s="117"/>
      <c r="B7" s="169" t="s">
        <v>24</v>
      </c>
      <c r="C7" s="169"/>
      <c r="D7" s="169"/>
      <c r="E7" s="169"/>
      <c r="F7" s="169"/>
      <c r="G7" s="118" t="s">
        <v>26</v>
      </c>
      <c r="H7" s="118"/>
      <c r="I7" s="119"/>
    </row>
    <row r="8" spans="1:20" ht="21.9" customHeight="1" x14ac:dyDescent="0.8">
      <c r="A8" s="117"/>
      <c r="B8" s="169"/>
      <c r="C8" s="169"/>
      <c r="D8" s="169"/>
      <c r="E8" s="169"/>
      <c r="F8" s="169"/>
      <c r="G8" s="120" t="s">
        <v>96</v>
      </c>
      <c r="H8" s="118"/>
      <c r="I8" s="119"/>
    </row>
    <row r="9" spans="1:20" ht="15" customHeight="1" thickBot="1" x14ac:dyDescent="0.4">
      <c r="A9" s="121"/>
      <c r="B9" s="121"/>
      <c r="C9" s="121"/>
      <c r="D9" s="121"/>
      <c r="E9" s="121"/>
      <c r="F9" s="121"/>
      <c r="G9" s="121"/>
      <c r="H9" s="121"/>
      <c r="I9" s="121"/>
      <c r="T9" s="116"/>
    </row>
    <row r="10" spans="1:20" ht="15" customHeight="1" x14ac:dyDescent="0.35">
      <c r="A10" s="122" t="s">
        <v>93</v>
      </c>
      <c r="B10" s="123" t="str">
        <f>+ügyf!$I$2</f>
        <v>E22-0704-001</v>
      </c>
      <c r="C10" s="123"/>
      <c r="D10" s="123"/>
      <c r="E10" s="123"/>
      <c r="F10" s="122" t="s">
        <v>92</v>
      </c>
      <c r="G10" s="123" t="str">
        <f>ügyf!D2</f>
        <v>Martinás-Seprényi Zsuzsanna</v>
      </c>
      <c r="H10" s="123"/>
      <c r="I10" s="123"/>
      <c r="O10" s="3"/>
      <c r="P10" s="20"/>
      <c r="Q10" s="110" t="s">
        <v>86</v>
      </c>
    </row>
    <row r="11" spans="1:20" ht="15" customHeight="1" thickBot="1" x14ac:dyDescent="0.4">
      <c r="A11" s="122" t="s">
        <v>91</v>
      </c>
      <c r="B11" s="127">
        <f>+ügyf!$B$2</f>
        <v>6154</v>
      </c>
      <c r="C11" s="124" t="str">
        <f>+ügyf!$C$2</f>
        <v>Martinás-Seprényi Zsuzsanna</v>
      </c>
      <c r="D11" s="123"/>
      <c r="E11" s="123"/>
      <c r="F11" s="122" t="s">
        <v>1</v>
      </c>
      <c r="G11" s="126" t="str">
        <f>+ügyf!$F$2</f>
        <v>+36317829232</v>
      </c>
      <c r="H11" s="124"/>
      <c r="I11" s="123"/>
      <c r="O11" s="3"/>
      <c r="P11" s="20"/>
      <c r="Q11" s="111">
        <v>0.27</v>
      </c>
    </row>
    <row r="12" spans="1:20" ht="14.5" x14ac:dyDescent="0.35">
      <c r="A12" s="122" t="s">
        <v>94</v>
      </c>
      <c r="B12" s="123" t="str">
        <f>+ügyf!$R$2</f>
        <v>XXII. Kerület</v>
      </c>
      <c r="C12" s="123"/>
      <c r="D12" s="123"/>
      <c r="E12" s="123"/>
      <c r="F12" s="122" t="s">
        <v>2</v>
      </c>
      <c r="G12" s="123" t="str">
        <f>+ügyf!$G$2</f>
        <v>zsuzska.seprenyi@gmail.com</v>
      </c>
      <c r="H12" s="125"/>
      <c r="I12" s="123"/>
      <c r="O12" s="3"/>
      <c r="P12" s="3"/>
    </row>
  </sheetData>
  <mergeCells count="1">
    <mergeCell ref="B7:F8"/>
  </mergeCells>
  <hyperlinks>
    <hyperlink ref="G8" r:id="rId1"/>
  </hyperlinks>
  <pageMargins left="0.23622047244094491" right="0.23622047244094491" top="0.74803149606299213" bottom="0.74803149606299213" header="0.31496062992125984" footer="0.31496062992125984"/>
  <pageSetup paperSize="9" scale="112" orientation="landscape" horizontalDpi="4294967292" r:id="rId2"/>
  <headerFooter>
    <oddFooter>&amp;C&amp;P. oldal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8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E91" sqref="E91"/>
    </sheetView>
  </sheetViews>
  <sheetFormatPr defaultRowHeight="14.5" x14ac:dyDescent="0.35"/>
  <cols>
    <col min="1" max="1" width="18.6328125" customWidth="1"/>
    <col min="2" max="2" width="9.81640625" customWidth="1"/>
    <col min="3" max="3" width="24" customWidth="1"/>
    <col min="4" max="4" width="8.81640625" customWidth="1"/>
    <col min="5" max="5" width="10.08984375" customWidth="1"/>
  </cols>
  <sheetData>
    <row r="1" spans="1:21" x14ac:dyDescent="0.35">
      <c r="A1" t="s">
        <v>286</v>
      </c>
      <c r="B1" t="s">
        <v>297</v>
      </c>
      <c r="C1" t="s">
        <v>296</v>
      </c>
      <c r="D1" t="s">
        <v>315</v>
      </c>
      <c r="E1" t="s">
        <v>261</v>
      </c>
      <c r="F1" t="s">
        <v>251</v>
      </c>
      <c r="G1" t="s">
        <v>252</v>
      </c>
      <c r="H1" t="s">
        <v>253</v>
      </c>
      <c r="I1" t="s">
        <v>254</v>
      </c>
      <c r="J1" t="s">
        <v>255</v>
      </c>
      <c r="K1" t="s">
        <v>256</v>
      </c>
      <c r="L1" t="s">
        <v>257</v>
      </c>
      <c r="M1" t="s">
        <v>258</v>
      </c>
      <c r="N1" t="s">
        <v>259</v>
      </c>
      <c r="O1" t="s">
        <v>260</v>
      </c>
      <c r="P1" t="s">
        <v>343</v>
      </c>
      <c r="Q1" t="s">
        <v>312</v>
      </c>
      <c r="R1" t="s">
        <v>27</v>
      </c>
    </row>
    <row r="2" spans="1:21" x14ac:dyDescent="0.35">
      <c r="A2" t="s">
        <v>293</v>
      </c>
      <c r="B2" t="s">
        <v>291</v>
      </c>
      <c r="C2" t="s">
        <v>339</v>
      </c>
      <c r="E2" t="s">
        <v>294</v>
      </c>
      <c r="F2" t="s">
        <v>16</v>
      </c>
      <c r="G2" t="s">
        <v>13</v>
      </c>
      <c r="H2" t="s">
        <v>20</v>
      </c>
      <c r="I2" t="s">
        <v>20</v>
      </c>
      <c r="J2" t="s">
        <v>14</v>
      </c>
      <c r="K2" t="s">
        <v>340</v>
      </c>
      <c r="L2" t="s">
        <v>15</v>
      </c>
      <c r="M2" t="s">
        <v>10</v>
      </c>
      <c r="N2" t="s">
        <v>11</v>
      </c>
      <c r="O2" t="s">
        <v>341</v>
      </c>
      <c r="P2" t="s">
        <v>347</v>
      </c>
      <c r="S2" t="s">
        <v>162</v>
      </c>
      <c r="U2" t="s">
        <v>20</v>
      </c>
    </row>
    <row r="3" spans="1:21" x14ac:dyDescent="0.35">
      <c r="A3" t="s">
        <v>293</v>
      </c>
      <c r="B3" t="s">
        <v>291</v>
      </c>
      <c r="C3" t="s">
        <v>273</v>
      </c>
      <c r="F3">
        <v>5</v>
      </c>
      <c r="G3">
        <v>30</v>
      </c>
      <c r="H3">
        <v>15</v>
      </c>
      <c r="I3">
        <v>15</v>
      </c>
      <c r="J3">
        <v>15</v>
      </c>
      <c r="K3">
        <v>20</v>
      </c>
      <c r="L3">
        <v>5</v>
      </c>
      <c r="M3">
        <v>8</v>
      </c>
      <c r="N3">
        <v>2</v>
      </c>
      <c r="O3">
        <v>200</v>
      </c>
      <c r="P3">
        <v>20</v>
      </c>
      <c r="S3" t="s">
        <v>166</v>
      </c>
      <c r="U3" t="s">
        <v>13</v>
      </c>
    </row>
    <row r="4" spans="1:21" x14ac:dyDescent="0.35">
      <c r="A4" t="s">
        <v>293</v>
      </c>
      <c r="B4" t="s">
        <v>291</v>
      </c>
      <c r="C4" t="s">
        <v>272</v>
      </c>
      <c r="F4">
        <v>1</v>
      </c>
      <c r="G4">
        <v>4</v>
      </c>
      <c r="H4">
        <v>6</v>
      </c>
      <c r="I4">
        <v>6</v>
      </c>
      <c r="J4">
        <v>10</v>
      </c>
      <c r="K4">
        <v>10</v>
      </c>
      <c r="L4">
        <v>13</v>
      </c>
      <c r="M4">
        <v>15</v>
      </c>
      <c r="N4">
        <v>17</v>
      </c>
      <c r="O4">
        <v>30</v>
      </c>
      <c r="P4">
        <v>35</v>
      </c>
      <c r="S4" t="s">
        <v>342</v>
      </c>
      <c r="U4" t="s">
        <v>14</v>
      </c>
    </row>
    <row r="5" spans="1:21" x14ac:dyDescent="0.35">
      <c r="A5" t="s">
        <v>293</v>
      </c>
      <c r="B5" t="s">
        <v>291</v>
      </c>
      <c r="C5" t="s">
        <v>271</v>
      </c>
      <c r="F5">
        <v>2.7</v>
      </c>
      <c r="G5">
        <v>2.7</v>
      </c>
      <c r="H5">
        <v>2.7</v>
      </c>
      <c r="I5">
        <v>2.7</v>
      </c>
      <c r="J5">
        <v>2.7</v>
      </c>
      <c r="K5">
        <v>2.7</v>
      </c>
      <c r="L5">
        <v>2.7</v>
      </c>
      <c r="M5">
        <v>2.7</v>
      </c>
      <c r="N5">
        <v>2.7</v>
      </c>
      <c r="O5">
        <v>2.7</v>
      </c>
      <c r="P5">
        <v>2.7</v>
      </c>
      <c r="S5" t="s">
        <v>344</v>
      </c>
      <c r="U5" t="s">
        <v>340</v>
      </c>
    </row>
    <row r="6" spans="1:21" x14ac:dyDescent="0.35">
      <c r="A6" t="s">
        <v>293</v>
      </c>
      <c r="B6" t="s">
        <v>291</v>
      </c>
      <c r="C6" t="s">
        <v>346</v>
      </c>
      <c r="F6" t="s">
        <v>162</v>
      </c>
      <c r="G6" t="s">
        <v>162</v>
      </c>
      <c r="H6" t="s">
        <v>166</v>
      </c>
      <c r="I6" t="s">
        <v>166</v>
      </c>
      <c r="J6" t="s">
        <v>162</v>
      </c>
      <c r="K6" t="s">
        <v>162</v>
      </c>
      <c r="L6" t="s">
        <v>342</v>
      </c>
      <c r="M6" t="s">
        <v>162</v>
      </c>
      <c r="N6" t="s">
        <v>162</v>
      </c>
      <c r="O6" t="s">
        <v>344</v>
      </c>
      <c r="P6" t="s">
        <v>345</v>
      </c>
      <c r="S6" t="s">
        <v>378</v>
      </c>
      <c r="U6" t="s">
        <v>15</v>
      </c>
    </row>
    <row r="7" spans="1:21" x14ac:dyDescent="0.35">
      <c r="S7" t="s">
        <v>345</v>
      </c>
      <c r="U7" t="s">
        <v>379</v>
      </c>
    </row>
    <row r="8" spans="1:21" x14ac:dyDescent="0.35">
      <c r="A8" t="s">
        <v>314</v>
      </c>
      <c r="B8" t="s">
        <v>291</v>
      </c>
      <c r="C8" t="s">
        <v>348</v>
      </c>
      <c r="D8" t="s">
        <v>353</v>
      </c>
      <c r="E8">
        <f>SUM(F8:P8)</f>
        <v>20</v>
      </c>
      <c r="G8">
        <v>2</v>
      </c>
      <c r="H8">
        <v>3</v>
      </c>
      <c r="I8">
        <v>2</v>
      </c>
      <c r="J8">
        <v>2</v>
      </c>
      <c r="K8">
        <v>1</v>
      </c>
      <c r="L8">
        <v>3</v>
      </c>
      <c r="M8">
        <v>1</v>
      </c>
      <c r="N8">
        <v>3</v>
      </c>
      <c r="O8">
        <v>2</v>
      </c>
      <c r="P8">
        <v>1</v>
      </c>
      <c r="U8" t="s">
        <v>16</v>
      </c>
    </row>
    <row r="9" spans="1:21" x14ac:dyDescent="0.35">
      <c r="A9" t="s">
        <v>314</v>
      </c>
      <c r="B9" t="s">
        <v>291</v>
      </c>
      <c r="C9" t="s">
        <v>349</v>
      </c>
      <c r="D9" t="s">
        <v>353</v>
      </c>
      <c r="E9">
        <f t="shared" ref="E9:E44" si="0">SUM(F9:P9)</f>
        <v>15</v>
      </c>
      <c r="F9">
        <v>1</v>
      </c>
      <c r="G9">
        <v>2</v>
      </c>
      <c r="H9">
        <v>1</v>
      </c>
      <c r="I9">
        <v>1</v>
      </c>
      <c r="J9">
        <v>2</v>
      </c>
      <c r="K9">
        <v>2</v>
      </c>
      <c r="L9">
        <v>1</v>
      </c>
      <c r="M9">
        <v>1</v>
      </c>
      <c r="N9">
        <v>2</v>
      </c>
      <c r="O9">
        <v>1</v>
      </c>
      <c r="P9">
        <v>1</v>
      </c>
      <c r="U9" t="s">
        <v>21</v>
      </c>
    </row>
    <row r="10" spans="1:21" x14ac:dyDescent="0.35">
      <c r="A10" t="s">
        <v>314</v>
      </c>
      <c r="B10" t="s">
        <v>291</v>
      </c>
      <c r="C10" t="s">
        <v>350</v>
      </c>
      <c r="D10" t="s">
        <v>353</v>
      </c>
      <c r="E10">
        <f t="shared" si="0"/>
        <v>22</v>
      </c>
      <c r="G10">
        <v>3</v>
      </c>
      <c r="H10">
        <v>3</v>
      </c>
      <c r="I10">
        <v>3</v>
      </c>
      <c r="J10">
        <v>1</v>
      </c>
      <c r="K10">
        <v>2</v>
      </c>
      <c r="L10">
        <v>1</v>
      </c>
      <c r="M10">
        <v>2</v>
      </c>
      <c r="N10">
        <v>2</v>
      </c>
      <c r="O10">
        <v>3</v>
      </c>
      <c r="P10">
        <v>2</v>
      </c>
      <c r="U10" t="s">
        <v>11</v>
      </c>
    </row>
    <row r="11" spans="1:21" x14ac:dyDescent="0.35">
      <c r="A11" t="s">
        <v>314</v>
      </c>
      <c r="B11" t="s">
        <v>291</v>
      </c>
      <c r="C11" t="s">
        <v>351</v>
      </c>
      <c r="D11" t="s">
        <v>353</v>
      </c>
      <c r="E11">
        <f t="shared" si="0"/>
        <v>17</v>
      </c>
      <c r="G11">
        <v>2</v>
      </c>
      <c r="H11">
        <v>2</v>
      </c>
      <c r="I11">
        <v>2</v>
      </c>
      <c r="J11">
        <v>1</v>
      </c>
      <c r="K11">
        <v>1</v>
      </c>
      <c r="L11">
        <v>3</v>
      </c>
      <c r="M11">
        <v>1</v>
      </c>
      <c r="N11">
        <v>2</v>
      </c>
      <c r="O11">
        <v>1</v>
      </c>
      <c r="P11">
        <v>2</v>
      </c>
      <c r="U11" t="s">
        <v>10</v>
      </c>
    </row>
    <row r="12" spans="1:21" x14ac:dyDescent="0.35">
      <c r="A12" t="s">
        <v>314</v>
      </c>
      <c r="B12" t="s">
        <v>291</v>
      </c>
      <c r="C12" t="s">
        <v>270</v>
      </c>
      <c r="D12" t="s">
        <v>353</v>
      </c>
      <c r="E12">
        <f t="shared" si="0"/>
        <v>22</v>
      </c>
      <c r="F12">
        <v>1</v>
      </c>
      <c r="G12">
        <v>3</v>
      </c>
      <c r="H12">
        <v>2</v>
      </c>
      <c r="I12">
        <v>1</v>
      </c>
      <c r="J12">
        <v>3</v>
      </c>
      <c r="K12">
        <v>3</v>
      </c>
      <c r="L12">
        <v>1</v>
      </c>
      <c r="M12">
        <v>3</v>
      </c>
      <c r="N12">
        <v>2</v>
      </c>
      <c r="O12">
        <v>1</v>
      </c>
      <c r="P12">
        <v>2</v>
      </c>
      <c r="U12" t="s">
        <v>381</v>
      </c>
    </row>
    <row r="13" spans="1:21" x14ac:dyDescent="0.35">
      <c r="A13" t="s">
        <v>314</v>
      </c>
      <c r="B13" t="s">
        <v>291</v>
      </c>
      <c r="C13" t="s">
        <v>352</v>
      </c>
      <c r="D13" t="s">
        <v>353</v>
      </c>
      <c r="E13">
        <f t="shared" si="0"/>
        <v>20</v>
      </c>
      <c r="G13">
        <v>3</v>
      </c>
      <c r="H13">
        <v>1</v>
      </c>
      <c r="I13">
        <v>2</v>
      </c>
      <c r="J13">
        <v>3</v>
      </c>
      <c r="K13">
        <v>2</v>
      </c>
      <c r="L13">
        <v>1</v>
      </c>
      <c r="M13">
        <v>1</v>
      </c>
      <c r="N13">
        <v>3</v>
      </c>
      <c r="O13">
        <v>1</v>
      </c>
      <c r="P13">
        <v>3</v>
      </c>
      <c r="U13" t="s">
        <v>380</v>
      </c>
    </row>
    <row r="14" spans="1:21" x14ac:dyDescent="0.35">
      <c r="A14" t="s">
        <v>314</v>
      </c>
      <c r="B14" t="s">
        <v>291</v>
      </c>
      <c r="C14" t="s">
        <v>269</v>
      </c>
      <c r="D14" t="s">
        <v>353</v>
      </c>
      <c r="E14">
        <f t="shared" si="0"/>
        <v>21</v>
      </c>
      <c r="F14">
        <v>1</v>
      </c>
      <c r="G14">
        <v>3</v>
      </c>
      <c r="H14">
        <v>3</v>
      </c>
      <c r="I14">
        <v>2</v>
      </c>
      <c r="J14">
        <v>2</v>
      </c>
      <c r="K14">
        <v>2</v>
      </c>
      <c r="L14">
        <v>1</v>
      </c>
      <c r="M14">
        <v>2</v>
      </c>
      <c r="N14">
        <v>2</v>
      </c>
      <c r="O14">
        <v>1</v>
      </c>
      <c r="P14">
        <v>2</v>
      </c>
      <c r="U14" t="s">
        <v>382</v>
      </c>
    </row>
    <row r="15" spans="1:21" x14ac:dyDescent="0.35">
      <c r="A15" t="s">
        <v>314</v>
      </c>
      <c r="B15" t="s">
        <v>291</v>
      </c>
      <c r="C15" t="s">
        <v>264</v>
      </c>
      <c r="D15" t="s">
        <v>353</v>
      </c>
      <c r="E15">
        <f t="shared" si="0"/>
        <v>19</v>
      </c>
      <c r="F15">
        <v>1</v>
      </c>
      <c r="G15">
        <v>2</v>
      </c>
      <c r="H15">
        <v>2</v>
      </c>
      <c r="I15">
        <v>1</v>
      </c>
      <c r="J15">
        <v>1</v>
      </c>
      <c r="K15">
        <v>2</v>
      </c>
      <c r="L15">
        <v>3</v>
      </c>
      <c r="M15">
        <v>2</v>
      </c>
      <c r="N15">
        <v>1</v>
      </c>
      <c r="O15">
        <v>3</v>
      </c>
      <c r="P15">
        <v>1</v>
      </c>
      <c r="U15" t="s">
        <v>383</v>
      </c>
    </row>
    <row r="16" spans="1:21" x14ac:dyDescent="0.35">
      <c r="A16" t="s">
        <v>314</v>
      </c>
      <c r="B16" t="s">
        <v>291</v>
      </c>
      <c r="C16" t="s">
        <v>265</v>
      </c>
      <c r="D16" t="s">
        <v>353</v>
      </c>
      <c r="E16">
        <f t="shared" si="0"/>
        <v>17</v>
      </c>
      <c r="G16">
        <v>2</v>
      </c>
      <c r="H16">
        <v>3</v>
      </c>
      <c r="I16">
        <v>1</v>
      </c>
      <c r="J16">
        <v>2</v>
      </c>
      <c r="K16">
        <v>2</v>
      </c>
      <c r="L16">
        <v>1</v>
      </c>
      <c r="M16">
        <v>1</v>
      </c>
      <c r="N16">
        <v>1</v>
      </c>
      <c r="O16">
        <v>1</v>
      </c>
      <c r="P16">
        <v>3</v>
      </c>
      <c r="U16" t="s">
        <v>384</v>
      </c>
    </row>
    <row r="17" spans="1:21" x14ac:dyDescent="0.35">
      <c r="A17" t="s">
        <v>314</v>
      </c>
      <c r="B17" t="s">
        <v>291</v>
      </c>
      <c r="C17" t="s">
        <v>266</v>
      </c>
      <c r="D17" t="s">
        <v>353</v>
      </c>
      <c r="E17">
        <f t="shared" si="0"/>
        <v>23</v>
      </c>
      <c r="F17">
        <v>2</v>
      </c>
      <c r="G17">
        <v>3</v>
      </c>
      <c r="H17">
        <v>2</v>
      </c>
      <c r="I17">
        <v>1</v>
      </c>
      <c r="J17">
        <v>2</v>
      </c>
      <c r="K17">
        <v>2</v>
      </c>
      <c r="L17">
        <v>3</v>
      </c>
      <c r="M17">
        <v>3</v>
      </c>
      <c r="N17">
        <v>2</v>
      </c>
      <c r="O17">
        <v>2</v>
      </c>
      <c r="P17">
        <v>1</v>
      </c>
      <c r="U17" t="s">
        <v>341</v>
      </c>
    </row>
    <row r="18" spans="1:21" x14ac:dyDescent="0.35">
      <c r="A18" t="s">
        <v>314</v>
      </c>
      <c r="B18" t="s">
        <v>291</v>
      </c>
      <c r="C18" t="s">
        <v>267</v>
      </c>
      <c r="D18" t="s">
        <v>353</v>
      </c>
      <c r="E18">
        <f t="shared" si="0"/>
        <v>19</v>
      </c>
      <c r="F18">
        <v>1</v>
      </c>
      <c r="G18">
        <v>2</v>
      </c>
      <c r="H18">
        <v>2</v>
      </c>
      <c r="I18">
        <v>2</v>
      </c>
      <c r="J18">
        <v>1</v>
      </c>
      <c r="K18">
        <v>1</v>
      </c>
      <c r="L18">
        <v>1</v>
      </c>
      <c r="M18">
        <v>2</v>
      </c>
      <c r="N18">
        <v>2</v>
      </c>
      <c r="O18">
        <v>3</v>
      </c>
      <c r="P18">
        <v>2</v>
      </c>
      <c r="U18" t="s">
        <v>347</v>
      </c>
    </row>
    <row r="19" spans="1:21" x14ac:dyDescent="0.35">
      <c r="A19" t="s">
        <v>314</v>
      </c>
      <c r="B19" t="s">
        <v>291</v>
      </c>
      <c r="C19" t="s">
        <v>262</v>
      </c>
      <c r="D19" t="s">
        <v>353</v>
      </c>
      <c r="E19">
        <f t="shared" si="0"/>
        <v>19</v>
      </c>
      <c r="F19">
        <v>1</v>
      </c>
      <c r="G19">
        <v>2</v>
      </c>
      <c r="H19">
        <v>1</v>
      </c>
      <c r="I19">
        <v>3</v>
      </c>
      <c r="J19">
        <v>2</v>
      </c>
      <c r="K19">
        <v>1</v>
      </c>
      <c r="L19">
        <v>2</v>
      </c>
      <c r="M19">
        <v>2</v>
      </c>
      <c r="N19">
        <v>1</v>
      </c>
      <c r="O19">
        <v>2</v>
      </c>
      <c r="P19">
        <v>2</v>
      </c>
    </row>
    <row r="21" spans="1:21" x14ac:dyDescent="0.35">
      <c r="A21" s="162" t="s">
        <v>313</v>
      </c>
      <c r="B21" t="s">
        <v>291</v>
      </c>
      <c r="C21" t="s">
        <v>317</v>
      </c>
      <c r="D21" t="s">
        <v>354</v>
      </c>
      <c r="E21">
        <f t="shared" si="0"/>
        <v>6</v>
      </c>
      <c r="F21">
        <v>1</v>
      </c>
      <c r="G21">
        <v>1</v>
      </c>
      <c r="H21">
        <v>1</v>
      </c>
      <c r="I21">
        <v>1</v>
      </c>
      <c r="J21">
        <v>1</v>
      </c>
      <c r="M21">
        <v>1</v>
      </c>
      <c r="Q21" s="25">
        <f>ROUNDUP((F$3*F21+G$3*G21+H$3*H21+I$3*I21+J$3*J21+K$3*K21+L$3*L21+M$3*M21+N$3*N21+O$3*O21+P$3*P21)*100/230,0)</f>
        <v>39</v>
      </c>
      <c r="R21">
        <v>100</v>
      </c>
      <c r="S21" t="s">
        <v>385</v>
      </c>
    </row>
    <row r="22" spans="1:21" x14ac:dyDescent="0.35">
      <c r="A22" s="162" t="s">
        <v>313</v>
      </c>
      <c r="B22" t="s">
        <v>291</v>
      </c>
      <c r="C22" t="s">
        <v>306</v>
      </c>
      <c r="D22" t="s">
        <v>355</v>
      </c>
      <c r="E22">
        <f t="shared" si="0"/>
        <v>6</v>
      </c>
      <c r="G22">
        <v>1</v>
      </c>
      <c r="H22">
        <v>1</v>
      </c>
      <c r="I22">
        <v>1</v>
      </c>
      <c r="J22">
        <v>1</v>
      </c>
      <c r="K22">
        <v>1</v>
      </c>
      <c r="M22">
        <v>1</v>
      </c>
      <c r="Q22" s="25">
        <f>ROUNDUP((F$3*F22+G$3*G22+H$3*H22+I$3*I22+J$3*J22+K$3*K22+L$3*L22+M$3*M22+N$3*N22+O$3*O22+P$3*P22)*100/230,0)</f>
        <v>45</v>
      </c>
      <c r="R22">
        <v>100</v>
      </c>
      <c r="S22" t="s">
        <v>385</v>
      </c>
    </row>
    <row r="23" spans="1:21" x14ac:dyDescent="0.35">
      <c r="A23" s="162" t="s">
        <v>313</v>
      </c>
      <c r="B23" t="s">
        <v>291</v>
      </c>
      <c r="C23" s="160" t="s">
        <v>373</v>
      </c>
      <c r="D23" t="s">
        <v>356</v>
      </c>
      <c r="E23">
        <f t="shared" si="0"/>
        <v>1</v>
      </c>
      <c r="J23">
        <v>1</v>
      </c>
      <c r="Q23">
        <f>ROUNDUP(R23*E23/230,0)</f>
        <v>5</v>
      </c>
      <c r="R23">
        <v>1000</v>
      </c>
      <c r="S23" t="s">
        <v>386</v>
      </c>
    </row>
    <row r="24" spans="1:21" x14ac:dyDescent="0.35">
      <c r="A24" s="162" t="s">
        <v>313</v>
      </c>
      <c r="B24" t="s">
        <v>291</v>
      </c>
      <c r="C24" s="160" t="s">
        <v>372</v>
      </c>
      <c r="D24" t="s">
        <v>357</v>
      </c>
      <c r="E24">
        <f t="shared" si="0"/>
        <v>4</v>
      </c>
      <c r="J24">
        <v>4</v>
      </c>
      <c r="Q24">
        <f t="shared" ref="Q24:Q39" si="1">ROUNDUP(R24*E24/230,0)</f>
        <v>4</v>
      </c>
      <c r="R24">
        <v>200</v>
      </c>
      <c r="S24" t="s">
        <v>386</v>
      </c>
    </row>
    <row r="25" spans="1:21" x14ac:dyDescent="0.35">
      <c r="A25" s="162" t="s">
        <v>313</v>
      </c>
      <c r="B25" t="s">
        <v>291</v>
      </c>
      <c r="C25" t="s">
        <v>305</v>
      </c>
      <c r="D25" t="s">
        <v>358</v>
      </c>
      <c r="E25">
        <f t="shared" si="0"/>
        <v>1</v>
      </c>
      <c r="J25">
        <v>1</v>
      </c>
      <c r="Q25">
        <f t="shared" si="1"/>
        <v>1</v>
      </c>
      <c r="R25">
        <v>100</v>
      </c>
      <c r="S25" t="s">
        <v>386</v>
      </c>
    </row>
    <row r="26" spans="1:21" x14ac:dyDescent="0.35">
      <c r="A26" s="162" t="s">
        <v>313</v>
      </c>
      <c r="B26" t="s">
        <v>291</v>
      </c>
      <c r="C26" t="s">
        <v>303</v>
      </c>
      <c r="D26" t="s">
        <v>359</v>
      </c>
      <c r="E26">
        <f t="shared" si="0"/>
        <v>1</v>
      </c>
      <c r="J26">
        <v>1</v>
      </c>
      <c r="Q26">
        <f t="shared" si="1"/>
        <v>79</v>
      </c>
      <c r="R26">
        <v>18000</v>
      </c>
      <c r="S26" t="s">
        <v>386</v>
      </c>
    </row>
    <row r="27" spans="1:21" x14ac:dyDescent="0.35">
      <c r="A27" s="162" t="s">
        <v>313</v>
      </c>
      <c r="B27" t="s">
        <v>291</v>
      </c>
      <c r="C27" s="162" t="s">
        <v>304</v>
      </c>
      <c r="D27" t="s">
        <v>360</v>
      </c>
      <c r="E27">
        <f t="shared" si="0"/>
        <v>0</v>
      </c>
      <c r="Q27">
        <f t="shared" si="1"/>
        <v>0</v>
      </c>
      <c r="R27">
        <v>24000</v>
      </c>
      <c r="S27" t="s">
        <v>386</v>
      </c>
    </row>
    <row r="28" spans="1:21" x14ac:dyDescent="0.35">
      <c r="A28" s="162" t="s">
        <v>313</v>
      </c>
      <c r="B28" t="s">
        <v>291</v>
      </c>
      <c r="C28" t="s">
        <v>302</v>
      </c>
      <c r="D28" t="s">
        <v>361</v>
      </c>
      <c r="E28">
        <f t="shared" si="0"/>
        <v>1</v>
      </c>
      <c r="M28">
        <v>1</v>
      </c>
      <c r="Q28">
        <f t="shared" si="1"/>
        <v>35</v>
      </c>
      <c r="R28">
        <v>8000</v>
      </c>
      <c r="S28" t="s">
        <v>386</v>
      </c>
    </row>
    <row r="29" spans="1:21" x14ac:dyDescent="0.35">
      <c r="A29" s="162" t="s">
        <v>313</v>
      </c>
      <c r="B29" t="s">
        <v>291</v>
      </c>
      <c r="C29" t="s">
        <v>300</v>
      </c>
      <c r="D29" t="s">
        <v>362</v>
      </c>
      <c r="E29">
        <f t="shared" si="0"/>
        <v>0</v>
      </c>
      <c r="Q29">
        <f t="shared" si="1"/>
        <v>0</v>
      </c>
      <c r="R29">
        <v>18000</v>
      </c>
      <c r="S29" t="s">
        <v>386</v>
      </c>
    </row>
    <row r="30" spans="1:21" x14ac:dyDescent="0.35">
      <c r="A30" s="162" t="s">
        <v>313</v>
      </c>
      <c r="B30" t="s">
        <v>291</v>
      </c>
      <c r="C30" s="162" t="s">
        <v>301</v>
      </c>
      <c r="D30" t="s">
        <v>363</v>
      </c>
      <c r="E30">
        <f t="shared" si="0"/>
        <v>0</v>
      </c>
      <c r="Q30">
        <f t="shared" si="1"/>
        <v>0</v>
      </c>
      <c r="R30">
        <v>24000</v>
      </c>
      <c r="S30" t="s">
        <v>386</v>
      </c>
    </row>
    <row r="31" spans="1:21" x14ac:dyDescent="0.35">
      <c r="A31" s="162" t="s">
        <v>313</v>
      </c>
      <c r="B31" t="s">
        <v>291</v>
      </c>
      <c r="C31" t="s">
        <v>316</v>
      </c>
      <c r="D31" t="s">
        <v>364</v>
      </c>
      <c r="E31">
        <f t="shared" si="0"/>
        <v>2</v>
      </c>
      <c r="M31">
        <v>2</v>
      </c>
      <c r="Q31">
        <f t="shared" si="1"/>
        <v>35</v>
      </c>
      <c r="R31">
        <v>4000</v>
      </c>
      <c r="S31" t="s">
        <v>386</v>
      </c>
    </row>
    <row r="32" spans="1:21" x14ac:dyDescent="0.35">
      <c r="A32" s="162" t="s">
        <v>313</v>
      </c>
      <c r="B32" t="s">
        <v>291</v>
      </c>
      <c r="C32" t="s">
        <v>318</v>
      </c>
      <c r="D32" t="s">
        <v>365</v>
      </c>
      <c r="E32">
        <f t="shared" si="0"/>
        <v>1</v>
      </c>
      <c r="M32">
        <v>1</v>
      </c>
      <c r="Q32">
        <f t="shared" si="1"/>
        <v>9</v>
      </c>
      <c r="R32">
        <v>2000</v>
      </c>
      <c r="S32" t="s">
        <v>386</v>
      </c>
    </row>
    <row r="33" spans="1:19" x14ac:dyDescent="0.35">
      <c r="A33" s="162" t="s">
        <v>313</v>
      </c>
      <c r="B33" t="s">
        <v>291</v>
      </c>
      <c r="C33" t="s">
        <v>308</v>
      </c>
      <c r="D33" t="s">
        <v>366</v>
      </c>
      <c r="E33">
        <f t="shared" si="0"/>
        <v>0</v>
      </c>
      <c r="Q33">
        <f t="shared" si="1"/>
        <v>0</v>
      </c>
      <c r="R33">
        <v>18000</v>
      </c>
      <c r="S33" t="s">
        <v>386</v>
      </c>
    </row>
    <row r="34" spans="1:19" x14ac:dyDescent="0.35">
      <c r="A34" s="162" t="s">
        <v>313</v>
      </c>
      <c r="B34" t="s">
        <v>291</v>
      </c>
      <c r="C34" s="162" t="s">
        <v>309</v>
      </c>
      <c r="D34" t="s">
        <v>367</v>
      </c>
      <c r="E34">
        <f t="shared" si="0"/>
        <v>0</v>
      </c>
      <c r="Q34">
        <f t="shared" si="1"/>
        <v>0</v>
      </c>
      <c r="R34">
        <v>24000</v>
      </c>
      <c r="S34" t="s">
        <v>386</v>
      </c>
    </row>
    <row r="35" spans="1:19" x14ac:dyDescent="0.35">
      <c r="A35" s="162" t="s">
        <v>313</v>
      </c>
      <c r="B35" t="s">
        <v>291</v>
      </c>
      <c r="C35" t="s">
        <v>374</v>
      </c>
      <c r="D35" t="s">
        <v>368</v>
      </c>
      <c r="E35">
        <f t="shared" si="0"/>
        <v>1</v>
      </c>
      <c r="O35">
        <v>1</v>
      </c>
      <c r="Q35">
        <f t="shared" si="1"/>
        <v>9</v>
      </c>
      <c r="R35">
        <v>2000</v>
      </c>
      <c r="S35" t="s">
        <v>386</v>
      </c>
    </row>
    <row r="36" spans="1:19" x14ac:dyDescent="0.35">
      <c r="A36" s="162" t="s">
        <v>313</v>
      </c>
      <c r="B36" t="s">
        <v>291</v>
      </c>
      <c r="C36" s="162" t="s">
        <v>375</v>
      </c>
      <c r="D36" t="s">
        <v>368</v>
      </c>
      <c r="E36">
        <f t="shared" si="0"/>
        <v>1</v>
      </c>
      <c r="P36">
        <v>1</v>
      </c>
      <c r="Q36">
        <f t="shared" si="1"/>
        <v>18</v>
      </c>
      <c r="R36">
        <v>4000</v>
      </c>
      <c r="S36" t="s">
        <v>386</v>
      </c>
    </row>
    <row r="37" spans="1:19" x14ac:dyDescent="0.35">
      <c r="A37" s="162" t="s">
        <v>313</v>
      </c>
      <c r="B37" t="s">
        <v>291</v>
      </c>
      <c r="C37" t="s">
        <v>268</v>
      </c>
      <c r="D37" t="s">
        <v>369</v>
      </c>
      <c r="E37">
        <f t="shared" si="0"/>
        <v>5</v>
      </c>
      <c r="O37">
        <v>5</v>
      </c>
      <c r="Q37">
        <f t="shared" si="1"/>
        <v>5</v>
      </c>
      <c r="R37">
        <v>200</v>
      </c>
      <c r="S37" t="s">
        <v>386</v>
      </c>
    </row>
    <row r="38" spans="1:19" x14ac:dyDescent="0.35">
      <c r="A38" s="162" t="s">
        <v>313</v>
      </c>
      <c r="B38" t="s">
        <v>291</v>
      </c>
      <c r="C38" t="s">
        <v>307</v>
      </c>
      <c r="D38" t="s">
        <v>370</v>
      </c>
      <c r="E38">
        <f t="shared" si="0"/>
        <v>5</v>
      </c>
      <c r="G38">
        <v>1</v>
      </c>
      <c r="H38">
        <v>1</v>
      </c>
      <c r="I38">
        <v>1</v>
      </c>
      <c r="J38">
        <v>1</v>
      </c>
      <c r="K38">
        <v>1</v>
      </c>
      <c r="Q38">
        <f t="shared" si="1"/>
        <v>44</v>
      </c>
      <c r="R38">
        <v>2000</v>
      </c>
      <c r="S38" t="s">
        <v>386</v>
      </c>
    </row>
    <row r="39" spans="1:19" x14ac:dyDescent="0.35">
      <c r="A39" s="162" t="s">
        <v>313</v>
      </c>
      <c r="B39" t="s">
        <v>291</v>
      </c>
      <c r="C39" t="s">
        <v>310</v>
      </c>
      <c r="D39" t="s">
        <v>371</v>
      </c>
      <c r="E39">
        <f t="shared" si="0"/>
        <v>0</v>
      </c>
      <c r="Q39">
        <f t="shared" si="1"/>
        <v>0</v>
      </c>
      <c r="R39">
        <v>1000</v>
      </c>
      <c r="S39" t="s">
        <v>386</v>
      </c>
    </row>
    <row r="41" spans="1:19" x14ac:dyDescent="0.35">
      <c r="A41" s="162" t="s">
        <v>292</v>
      </c>
      <c r="B41" t="s">
        <v>291</v>
      </c>
      <c r="C41" t="s">
        <v>277</v>
      </c>
      <c r="E41">
        <f t="shared" si="0"/>
        <v>3</v>
      </c>
      <c r="G41">
        <v>1</v>
      </c>
      <c r="H41">
        <v>1</v>
      </c>
      <c r="I41">
        <v>1</v>
      </c>
    </row>
    <row r="42" spans="1:19" x14ac:dyDescent="0.35">
      <c r="A42" s="162" t="s">
        <v>292</v>
      </c>
      <c r="B42" t="s">
        <v>291</v>
      </c>
      <c r="C42" t="s">
        <v>278</v>
      </c>
      <c r="E42">
        <f t="shared" si="0"/>
        <v>1</v>
      </c>
      <c r="G42">
        <v>1</v>
      </c>
    </row>
    <row r="43" spans="1:19" x14ac:dyDescent="0.35">
      <c r="A43" s="162" t="s">
        <v>292</v>
      </c>
      <c r="B43" t="s">
        <v>291</v>
      </c>
      <c r="C43" t="s">
        <v>279</v>
      </c>
      <c r="E43">
        <f t="shared" si="0"/>
        <v>6</v>
      </c>
      <c r="F43">
        <v>1</v>
      </c>
      <c r="G43">
        <v>1</v>
      </c>
      <c r="H43">
        <v>1</v>
      </c>
      <c r="I43">
        <v>1</v>
      </c>
      <c r="J43">
        <v>1</v>
      </c>
      <c r="K43">
        <v>1</v>
      </c>
    </row>
    <row r="44" spans="1:19" x14ac:dyDescent="0.35">
      <c r="A44" s="162" t="s">
        <v>292</v>
      </c>
      <c r="B44" t="s">
        <v>291</v>
      </c>
      <c r="C44" t="s">
        <v>280</v>
      </c>
      <c r="E44">
        <f t="shared" si="0"/>
        <v>4</v>
      </c>
      <c r="F44">
        <v>1</v>
      </c>
      <c r="G44">
        <v>1</v>
      </c>
      <c r="H44">
        <v>1</v>
      </c>
      <c r="I44">
        <v>1</v>
      </c>
    </row>
    <row r="46" spans="1:19" x14ac:dyDescent="0.35">
      <c r="A46" t="s">
        <v>88</v>
      </c>
      <c r="B46" t="s">
        <v>291</v>
      </c>
      <c r="C46" t="s">
        <v>274</v>
      </c>
      <c r="E46">
        <v>5</v>
      </c>
    </row>
    <row r="47" spans="1:19" x14ac:dyDescent="0.35">
      <c r="A47" t="s">
        <v>88</v>
      </c>
      <c r="B47" t="s">
        <v>291</v>
      </c>
      <c r="C47" t="s">
        <v>275</v>
      </c>
      <c r="E47">
        <v>20</v>
      </c>
    </row>
    <row r="48" spans="1:19" x14ac:dyDescent="0.35">
      <c r="A48" t="s">
        <v>88</v>
      </c>
      <c r="B48" t="s">
        <v>291</v>
      </c>
      <c r="C48" t="s">
        <v>276</v>
      </c>
      <c r="E48">
        <v>15</v>
      </c>
    </row>
    <row r="49" spans="1:16" x14ac:dyDescent="0.35">
      <c r="A49" t="s">
        <v>88</v>
      </c>
      <c r="B49" t="s">
        <v>291</v>
      </c>
      <c r="C49" t="s">
        <v>332</v>
      </c>
      <c r="E49">
        <v>1</v>
      </c>
    </row>
    <row r="51" spans="1:16" x14ac:dyDescent="0.35">
      <c r="A51" s="162" t="s">
        <v>287</v>
      </c>
      <c r="B51" t="s">
        <v>291</v>
      </c>
      <c r="C51" t="s">
        <v>184</v>
      </c>
      <c r="E51">
        <v>3</v>
      </c>
    </row>
    <row r="52" spans="1:16" x14ac:dyDescent="0.35">
      <c r="A52" s="162" t="s">
        <v>287</v>
      </c>
      <c r="B52" t="s">
        <v>291</v>
      </c>
      <c r="C52" t="s">
        <v>281</v>
      </c>
      <c r="E52">
        <v>58</v>
      </c>
    </row>
    <row r="54" spans="1:16" x14ac:dyDescent="0.35">
      <c r="A54" t="s">
        <v>288</v>
      </c>
      <c r="B54" t="s">
        <v>291</v>
      </c>
      <c r="C54" t="s">
        <v>283</v>
      </c>
    </row>
    <row r="55" spans="1:16" x14ac:dyDescent="0.35">
      <c r="A55" t="s">
        <v>288</v>
      </c>
      <c r="B55" t="s">
        <v>291</v>
      </c>
      <c r="C55" t="s">
        <v>284</v>
      </c>
    </row>
    <row r="56" spans="1:16" x14ac:dyDescent="0.35">
      <c r="A56" t="s">
        <v>288</v>
      </c>
      <c r="B56" t="s">
        <v>291</v>
      </c>
      <c r="C56" t="s">
        <v>285</v>
      </c>
    </row>
    <row r="57" spans="1:16" x14ac:dyDescent="0.35">
      <c r="A57" t="s">
        <v>288</v>
      </c>
      <c r="B57" t="s">
        <v>291</v>
      </c>
      <c r="C57" t="s">
        <v>387</v>
      </c>
    </row>
    <row r="58" spans="1:16" x14ac:dyDescent="0.35">
      <c r="A58" t="s">
        <v>288</v>
      </c>
      <c r="B58" t="s">
        <v>291</v>
      </c>
      <c r="C58" t="s">
        <v>388</v>
      </c>
    </row>
    <row r="59" spans="1:16" x14ac:dyDescent="0.35">
      <c r="A59" t="s">
        <v>288</v>
      </c>
      <c r="B59" t="s">
        <v>291</v>
      </c>
      <c r="C59" t="s">
        <v>389</v>
      </c>
    </row>
    <row r="61" spans="1:16" x14ac:dyDescent="0.35">
      <c r="A61" t="s">
        <v>0</v>
      </c>
      <c r="B61" s="163" t="s">
        <v>295</v>
      </c>
      <c r="C61" t="s">
        <v>263</v>
      </c>
      <c r="E61">
        <f t="shared" ref="E61" si="2">SUM(F61:P61)</f>
        <v>1064</v>
      </c>
      <c r="F61">
        <f>ROUNDUP(SQRT(F3)*3+F4+F5*SUM(F$41:F$44,F$21:F$39,F$8:F$19),0)</f>
        <v>38</v>
      </c>
      <c r="G61">
        <f t="shared" ref="G61:P61" si="3">ROUNDUP(SQRT(G3)*3+G4+G5*SUM(G$41:G$44,G$21:G$39,G$8:G$19),0)</f>
        <v>118</v>
      </c>
      <c r="H61">
        <f t="shared" si="3"/>
        <v>102</v>
      </c>
      <c r="I61">
        <f t="shared" si="3"/>
        <v>91</v>
      </c>
      <c r="J61">
        <f t="shared" si="3"/>
        <v>111</v>
      </c>
      <c r="K61">
        <f t="shared" si="3"/>
        <v>89</v>
      </c>
      <c r="L61">
        <f t="shared" si="3"/>
        <v>77</v>
      </c>
      <c r="M61">
        <f t="shared" si="3"/>
        <v>97</v>
      </c>
      <c r="N61">
        <f t="shared" si="3"/>
        <v>84</v>
      </c>
      <c r="O61">
        <f t="shared" si="3"/>
        <v>146</v>
      </c>
      <c r="P61">
        <f t="shared" si="3"/>
        <v>111</v>
      </c>
    </row>
    <row r="62" spans="1:16" x14ac:dyDescent="0.35">
      <c r="A62" t="s">
        <v>0</v>
      </c>
      <c r="B62" s="163" t="s">
        <v>295</v>
      </c>
      <c r="C62" t="s">
        <v>338</v>
      </c>
      <c r="E62">
        <f t="shared" ref="E62" si="4">SUM(F62:P62)</f>
        <v>1064</v>
      </c>
      <c r="F62">
        <f>F61</f>
        <v>38</v>
      </c>
      <c r="G62">
        <f t="shared" ref="G62:P62" si="5">G61</f>
        <v>118</v>
      </c>
      <c r="H62">
        <f t="shared" si="5"/>
        <v>102</v>
      </c>
      <c r="I62">
        <f t="shared" si="5"/>
        <v>91</v>
      </c>
      <c r="J62">
        <f t="shared" si="5"/>
        <v>111</v>
      </c>
      <c r="K62">
        <f t="shared" si="5"/>
        <v>89</v>
      </c>
      <c r="L62">
        <f t="shared" si="5"/>
        <v>77</v>
      </c>
      <c r="M62">
        <f t="shared" si="5"/>
        <v>97</v>
      </c>
      <c r="N62">
        <f t="shared" si="5"/>
        <v>84</v>
      </c>
      <c r="O62">
        <f t="shared" si="5"/>
        <v>146</v>
      </c>
      <c r="P62">
        <f t="shared" si="5"/>
        <v>111</v>
      </c>
    </row>
    <row r="63" spans="1:16" x14ac:dyDescent="0.35">
      <c r="A63" t="s">
        <v>294</v>
      </c>
      <c r="B63" s="163" t="s">
        <v>295</v>
      </c>
      <c r="C63" t="s">
        <v>335</v>
      </c>
      <c r="E63">
        <f>ROUNDUP(SUM($Q$21:$Q$39)/5*1.1,0)</f>
        <v>73</v>
      </c>
      <c r="F63" s="162"/>
      <c r="G63" s="162"/>
      <c r="H63" s="162"/>
      <c r="I63" s="162"/>
      <c r="J63" s="162"/>
      <c r="K63" s="162"/>
      <c r="L63" s="162"/>
      <c r="M63" s="162"/>
      <c r="N63" s="162"/>
      <c r="O63" s="162"/>
      <c r="P63" s="162"/>
    </row>
    <row r="64" spans="1:16" x14ac:dyDescent="0.35">
      <c r="A64" t="s">
        <v>294</v>
      </c>
      <c r="B64" s="163" t="s">
        <v>295</v>
      </c>
      <c r="C64" t="s">
        <v>336</v>
      </c>
      <c r="E64">
        <f>IF(SUM($F$27:$P$27,$F$30:$P$30,$F$34:$P$34,$F$36:$P$36)&gt;0,3,1)</f>
        <v>3</v>
      </c>
      <c r="F64" s="162"/>
      <c r="G64" s="162"/>
      <c r="H64" s="162"/>
      <c r="I64" s="162"/>
      <c r="J64" s="162"/>
      <c r="K64" s="162"/>
      <c r="L64" s="162"/>
      <c r="M64" s="162"/>
      <c r="N64" s="162"/>
      <c r="O64" s="162"/>
      <c r="P64" s="162"/>
    </row>
    <row r="65" spans="1:19" x14ac:dyDescent="0.35">
      <c r="A65" t="s">
        <v>294</v>
      </c>
      <c r="B65" s="163" t="s">
        <v>295</v>
      </c>
      <c r="C65" t="s">
        <v>289</v>
      </c>
      <c r="E65" s="163" t="s">
        <v>376</v>
      </c>
      <c r="F65" s="162"/>
      <c r="G65" s="162"/>
      <c r="H65" s="162"/>
      <c r="I65" s="162"/>
      <c r="J65" s="162"/>
      <c r="K65" s="162"/>
      <c r="L65" s="162"/>
      <c r="M65" s="162"/>
      <c r="N65" s="162"/>
      <c r="O65" s="162"/>
      <c r="P65" s="162"/>
      <c r="S65" t="s">
        <v>376</v>
      </c>
    </row>
    <row r="66" spans="1:19" x14ac:dyDescent="0.35">
      <c r="A66" t="s">
        <v>294</v>
      </c>
      <c r="B66" s="163" t="s">
        <v>295</v>
      </c>
      <c r="C66" t="s">
        <v>290</v>
      </c>
      <c r="E66">
        <f>ROUNDUP(SUM($E$8:$E$19)/50+SUM($E$21:$E$39)+(E36+E34+E30+E27)*2,0)</f>
        <v>42</v>
      </c>
      <c r="F66" s="162"/>
      <c r="G66" s="162"/>
      <c r="H66" s="162"/>
      <c r="I66" s="162"/>
      <c r="J66" s="162"/>
      <c r="K66" s="162"/>
      <c r="L66" s="162"/>
      <c r="M66" s="162"/>
      <c r="N66" s="162"/>
      <c r="O66" s="162"/>
      <c r="P66" s="162"/>
      <c r="S66" t="s">
        <v>377</v>
      </c>
    </row>
    <row r="67" spans="1:19" x14ac:dyDescent="0.35">
      <c r="A67" t="s">
        <v>294</v>
      </c>
      <c r="B67" s="163" t="s">
        <v>295</v>
      </c>
      <c r="C67" t="s">
        <v>337</v>
      </c>
      <c r="E67">
        <f>ROUNDUP((E66+(E64+1)+(E64+2))*1.2,0)</f>
        <v>62</v>
      </c>
      <c r="F67" s="162"/>
      <c r="G67" s="162"/>
      <c r="H67" s="162"/>
      <c r="I67" s="162"/>
      <c r="J67" s="162"/>
      <c r="K67" s="162"/>
      <c r="L67" s="162"/>
      <c r="M67" s="162"/>
      <c r="N67" s="162"/>
      <c r="O67" s="162"/>
      <c r="P67" s="162"/>
    </row>
    <row r="69" spans="1:19" x14ac:dyDescent="0.35">
      <c r="A69" t="s">
        <v>294</v>
      </c>
      <c r="B69">
        <v>23</v>
      </c>
      <c r="C69" t="s">
        <v>174</v>
      </c>
      <c r="E69">
        <f>IF(AND($E$67&gt;0,$E$67&lt;=24),1,0)</f>
        <v>0</v>
      </c>
    </row>
    <row r="70" spans="1:19" x14ac:dyDescent="0.35">
      <c r="A70" t="s">
        <v>294</v>
      </c>
      <c r="B70">
        <v>24</v>
      </c>
      <c r="C70" t="s">
        <v>177</v>
      </c>
      <c r="E70">
        <f>IF(AND($E$67&gt;24,$E$67&lt;=36),1,0)</f>
        <v>0</v>
      </c>
    </row>
    <row r="71" spans="1:19" x14ac:dyDescent="0.35">
      <c r="A71" t="s">
        <v>294</v>
      </c>
      <c r="B71">
        <v>25</v>
      </c>
      <c r="C71" t="s">
        <v>179</v>
      </c>
      <c r="E71">
        <f>IF(AND($E$67&gt;36,$E$67&lt;=48),1,0)</f>
        <v>0</v>
      </c>
    </row>
    <row r="72" spans="1:19" x14ac:dyDescent="0.35">
      <c r="A72" t="s">
        <v>294</v>
      </c>
      <c r="B72">
        <v>26</v>
      </c>
      <c r="C72" t="s">
        <v>181</v>
      </c>
      <c r="E72">
        <f>IF(AND($E$67&gt;48,$E$67&lt;=72),1,0)</f>
        <v>1</v>
      </c>
    </row>
    <row r="73" spans="1:19" x14ac:dyDescent="0.35">
      <c r="A73" t="s">
        <v>294</v>
      </c>
      <c r="B73" s="18">
        <v>28</v>
      </c>
      <c r="C73" s="160" t="s">
        <v>319</v>
      </c>
      <c r="E73">
        <f>IF($E$64=1,ROUNDUP($E$67/54,0),0)</f>
        <v>0</v>
      </c>
    </row>
    <row r="74" spans="1:19" x14ac:dyDescent="0.35">
      <c r="A74" t="s">
        <v>294</v>
      </c>
      <c r="B74">
        <v>29</v>
      </c>
      <c r="C74" t="s">
        <v>188</v>
      </c>
      <c r="E74">
        <f>IF($E$64=3,ROUNDUP($E$67/54,0),0)</f>
        <v>2</v>
      </c>
    </row>
    <row r="75" spans="1:19" x14ac:dyDescent="0.35">
      <c r="A75" t="s">
        <v>294</v>
      </c>
      <c r="B75">
        <v>74</v>
      </c>
      <c r="C75" t="s">
        <v>212</v>
      </c>
      <c r="E75">
        <f>E66-E77</f>
        <v>25</v>
      </c>
    </row>
    <row r="76" spans="1:19" x14ac:dyDescent="0.35">
      <c r="A76" t="s">
        <v>294</v>
      </c>
      <c r="B76" s="18">
        <v>75</v>
      </c>
      <c r="C76" t="s">
        <v>321</v>
      </c>
      <c r="E76" s="164">
        <v>0</v>
      </c>
    </row>
    <row r="77" spans="1:19" x14ac:dyDescent="0.35">
      <c r="A77" t="s">
        <v>294</v>
      </c>
      <c r="B77">
        <v>76</v>
      </c>
      <c r="C77" t="s">
        <v>214</v>
      </c>
      <c r="E77">
        <f>ROUNDUP(E66*2/5,0)</f>
        <v>17</v>
      </c>
    </row>
    <row r="78" spans="1:19" x14ac:dyDescent="0.35">
      <c r="A78" t="s">
        <v>294</v>
      </c>
      <c r="B78" s="18">
        <v>77.5</v>
      </c>
      <c r="C78" t="s">
        <v>320</v>
      </c>
      <c r="E78" s="164">
        <v>0</v>
      </c>
    </row>
    <row r="79" spans="1:19" x14ac:dyDescent="0.35">
      <c r="A79" t="s">
        <v>294</v>
      </c>
      <c r="B79">
        <v>88</v>
      </c>
      <c r="C79" t="s">
        <v>223</v>
      </c>
      <c r="E79">
        <f>IF($E$64=1,1,0)</f>
        <v>0</v>
      </c>
    </row>
    <row r="80" spans="1:19" x14ac:dyDescent="0.35">
      <c r="A80" t="s">
        <v>294</v>
      </c>
      <c r="B80">
        <v>90</v>
      </c>
      <c r="C80" t="s">
        <v>226</v>
      </c>
      <c r="E80">
        <f>IF(AND($E$64=3,$E$63/3&lt;20),1,0)</f>
        <v>0</v>
      </c>
    </row>
    <row r="81" spans="1:5" x14ac:dyDescent="0.35">
      <c r="A81" t="s">
        <v>294</v>
      </c>
      <c r="B81" s="18">
        <v>91</v>
      </c>
      <c r="C81" t="s">
        <v>322</v>
      </c>
      <c r="E81">
        <f>IF(AND($E$64=3,$E$63/3&lt;28,$E$63/3&gt;=20),1,0)</f>
        <v>1</v>
      </c>
    </row>
    <row r="82" spans="1:5" x14ac:dyDescent="0.35">
      <c r="A82" t="s">
        <v>294</v>
      </c>
      <c r="B82" s="18">
        <v>92</v>
      </c>
      <c r="C82" s="160" t="s">
        <v>393</v>
      </c>
      <c r="E82">
        <f>IF(AND($E$64=3,$E$63/3&lt;35,$E$63/3&gt;=28),1,0)</f>
        <v>0</v>
      </c>
    </row>
    <row r="83" spans="1:5" x14ac:dyDescent="0.35">
      <c r="A83" t="s">
        <v>294</v>
      </c>
      <c r="B83" s="18">
        <v>93</v>
      </c>
      <c r="C83" t="s">
        <v>323</v>
      </c>
      <c r="E83">
        <f>IF(AND($E$64=3,$E$63/3&lt;58,$E$63/3&gt;=35),1,0)</f>
        <v>0</v>
      </c>
    </row>
    <row r="84" spans="1:5" x14ac:dyDescent="0.35">
      <c r="A84" t="s">
        <v>294</v>
      </c>
      <c r="B84" s="18">
        <v>87</v>
      </c>
      <c r="C84" t="s">
        <v>324</v>
      </c>
    </row>
    <row r="85" spans="1:5" x14ac:dyDescent="0.35">
      <c r="A85" t="s">
        <v>294</v>
      </c>
      <c r="B85">
        <v>30</v>
      </c>
      <c r="C85" t="s">
        <v>192</v>
      </c>
      <c r="E85">
        <f>E64+2</f>
        <v>5</v>
      </c>
    </row>
    <row r="86" spans="1:5" x14ac:dyDescent="0.35">
      <c r="A86" t="s">
        <v>294</v>
      </c>
      <c r="C86" s="161" t="s">
        <v>282</v>
      </c>
      <c r="D86" s="161"/>
      <c r="E86" s="165"/>
    </row>
    <row r="87" spans="1:5" x14ac:dyDescent="0.35">
      <c r="A87" t="s">
        <v>294</v>
      </c>
      <c r="C87" s="161" t="s">
        <v>311</v>
      </c>
      <c r="D87" s="161"/>
      <c r="E87" s="165"/>
    </row>
    <row r="88" spans="1:5" x14ac:dyDescent="0.35">
      <c r="C88" s="161"/>
      <c r="D88" s="161"/>
    </row>
    <row r="89" spans="1:5" x14ac:dyDescent="0.35">
      <c r="A89" t="s">
        <v>0</v>
      </c>
      <c r="B89">
        <v>81</v>
      </c>
      <c r="C89" t="s">
        <v>217</v>
      </c>
    </row>
    <row r="91" spans="1:5" x14ac:dyDescent="0.35">
      <c r="A91" t="s">
        <v>0</v>
      </c>
      <c r="B91">
        <v>10</v>
      </c>
      <c r="C91" t="s">
        <v>299</v>
      </c>
    </row>
    <row r="92" spans="1:5" x14ac:dyDescent="0.35">
      <c r="A92" t="s">
        <v>0</v>
      </c>
      <c r="B92">
        <v>11</v>
      </c>
      <c r="C92" t="s">
        <v>298</v>
      </c>
    </row>
    <row r="93" spans="1:5" x14ac:dyDescent="0.35">
      <c r="A93" t="s">
        <v>0</v>
      </c>
      <c r="B93">
        <v>8</v>
      </c>
      <c r="C93" t="s">
        <v>160</v>
      </c>
    </row>
    <row r="94" spans="1:5" x14ac:dyDescent="0.35">
      <c r="A94" t="s">
        <v>0</v>
      </c>
      <c r="B94">
        <v>14</v>
      </c>
      <c r="C94" t="s">
        <v>169</v>
      </c>
    </row>
    <row r="95" spans="1:5" x14ac:dyDescent="0.35">
      <c r="A95" t="s">
        <v>0</v>
      </c>
      <c r="B95">
        <v>15</v>
      </c>
      <c r="C95" t="s">
        <v>170</v>
      </c>
    </row>
    <row r="96" spans="1:5" x14ac:dyDescent="0.35">
      <c r="A96" t="s">
        <v>0</v>
      </c>
      <c r="B96" s="18">
        <v>1</v>
      </c>
      <c r="C96" s="160" t="s">
        <v>405</v>
      </c>
    </row>
    <row r="97" spans="1:5" x14ac:dyDescent="0.35">
      <c r="A97" t="s">
        <v>0</v>
      </c>
      <c r="B97" s="18">
        <v>2</v>
      </c>
      <c r="C97" s="160" t="s">
        <v>406</v>
      </c>
    </row>
    <row r="98" spans="1:5" x14ac:dyDescent="0.35">
      <c r="A98" t="s">
        <v>0</v>
      </c>
      <c r="B98" s="18">
        <v>3</v>
      </c>
      <c r="C98" s="160" t="s">
        <v>407</v>
      </c>
    </row>
    <row r="99" spans="1:5" x14ac:dyDescent="0.35">
      <c r="A99" t="s">
        <v>0</v>
      </c>
      <c r="B99" s="18">
        <v>6.5</v>
      </c>
      <c r="C99" t="s">
        <v>408</v>
      </c>
    </row>
    <row r="100" spans="1:5" x14ac:dyDescent="0.35">
      <c r="A100" t="s">
        <v>0</v>
      </c>
      <c r="B100">
        <v>85</v>
      </c>
      <c r="C100" t="s">
        <v>219</v>
      </c>
    </row>
    <row r="101" spans="1:5" x14ac:dyDescent="0.35">
      <c r="A101" t="s">
        <v>0</v>
      </c>
      <c r="B101">
        <v>57</v>
      </c>
      <c r="C101" t="s">
        <v>204</v>
      </c>
    </row>
    <row r="102" spans="1:5" x14ac:dyDescent="0.35">
      <c r="A102" t="s">
        <v>0</v>
      </c>
      <c r="B102">
        <v>60</v>
      </c>
      <c r="C102" t="s">
        <v>206</v>
      </c>
    </row>
    <row r="103" spans="1:5" x14ac:dyDescent="0.35">
      <c r="A103" t="s">
        <v>0</v>
      </c>
      <c r="B103">
        <v>111</v>
      </c>
      <c r="C103" t="s">
        <v>246</v>
      </c>
    </row>
    <row r="104" spans="1:5" x14ac:dyDescent="0.35">
      <c r="A104" t="s">
        <v>0</v>
      </c>
      <c r="B104">
        <v>113</v>
      </c>
      <c r="C104" t="s">
        <v>249</v>
      </c>
    </row>
    <row r="105" spans="1:5" x14ac:dyDescent="0.35">
      <c r="A105" t="s">
        <v>0</v>
      </c>
      <c r="B105">
        <v>27</v>
      </c>
      <c r="C105" t="s">
        <v>334</v>
      </c>
      <c r="E105">
        <f>E51</f>
        <v>3</v>
      </c>
    </row>
    <row r="106" spans="1:5" x14ac:dyDescent="0.35">
      <c r="A106" t="s">
        <v>0</v>
      </c>
      <c r="B106">
        <v>56</v>
      </c>
      <c r="C106" t="s">
        <v>201</v>
      </c>
    </row>
    <row r="107" spans="1:5" x14ac:dyDescent="0.35">
      <c r="A107" t="s">
        <v>0</v>
      </c>
      <c r="B107">
        <v>65</v>
      </c>
      <c r="C107" t="s">
        <v>208</v>
      </c>
    </row>
    <row r="108" spans="1:5" x14ac:dyDescent="0.35">
      <c r="A108" t="s">
        <v>0</v>
      </c>
      <c r="B108" s="18">
        <v>123</v>
      </c>
      <c r="C108" s="160" t="s">
        <v>401</v>
      </c>
      <c r="E108" s="165"/>
    </row>
    <row r="109" spans="1:5" x14ac:dyDescent="0.35">
      <c r="A109" t="s">
        <v>0</v>
      </c>
      <c r="B109" s="18">
        <v>124</v>
      </c>
      <c r="C109" s="160" t="s">
        <v>402</v>
      </c>
      <c r="E109" s="165"/>
    </row>
    <row r="110" spans="1:5" x14ac:dyDescent="0.35">
      <c r="A110" t="s">
        <v>0</v>
      </c>
      <c r="B110" s="163"/>
      <c r="C110" t="s">
        <v>330</v>
      </c>
    </row>
    <row r="112" spans="1:5" x14ac:dyDescent="0.35">
      <c r="A112" t="s">
        <v>0</v>
      </c>
      <c r="B112">
        <v>45</v>
      </c>
      <c r="C112" t="s">
        <v>196</v>
      </c>
      <c r="E112">
        <f>$E$54+10</f>
        <v>10</v>
      </c>
    </row>
    <row r="113" spans="1:5" x14ac:dyDescent="0.35">
      <c r="A113" t="s">
        <v>0</v>
      </c>
      <c r="B113">
        <v>49</v>
      </c>
      <c r="C113" t="s">
        <v>199</v>
      </c>
    </row>
    <row r="114" spans="1:5" x14ac:dyDescent="0.35">
      <c r="A114" t="s">
        <v>0</v>
      </c>
      <c r="B114" s="18">
        <v>53</v>
      </c>
      <c r="C114" t="s">
        <v>326</v>
      </c>
      <c r="E114">
        <f>$E$47</f>
        <v>20</v>
      </c>
    </row>
    <row r="115" spans="1:5" x14ac:dyDescent="0.35">
      <c r="A115" t="s">
        <v>0</v>
      </c>
      <c r="B115" s="18">
        <v>42</v>
      </c>
      <c r="C115" t="s">
        <v>327</v>
      </c>
    </row>
    <row r="116" spans="1:5" x14ac:dyDescent="0.35">
      <c r="A116" t="s">
        <v>0</v>
      </c>
      <c r="B116">
        <v>108</v>
      </c>
      <c r="C116" t="s">
        <v>241</v>
      </c>
      <c r="E116">
        <f>SUM($E$112:$E$115)</f>
        <v>30</v>
      </c>
    </row>
    <row r="117" spans="1:5" x14ac:dyDescent="0.35">
      <c r="A117" t="s">
        <v>0</v>
      </c>
      <c r="B117">
        <v>94</v>
      </c>
      <c r="C117" t="s">
        <v>229</v>
      </c>
      <c r="E117">
        <f>IF($E$46&gt;0,1,0)</f>
        <v>1</v>
      </c>
    </row>
    <row r="118" spans="1:5" x14ac:dyDescent="0.35">
      <c r="A118" t="s">
        <v>0</v>
      </c>
      <c r="B118" s="18">
        <v>94.5</v>
      </c>
      <c r="C118" t="s">
        <v>333</v>
      </c>
      <c r="E118">
        <f>E117</f>
        <v>1</v>
      </c>
    </row>
    <row r="119" spans="1:5" x14ac:dyDescent="0.35">
      <c r="A119" t="s">
        <v>0</v>
      </c>
      <c r="B119">
        <v>9</v>
      </c>
      <c r="C119" s="160" t="s">
        <v>403</v>
      </c>
      <c r="E119">
        <f>E117</f>
        <v>1</v>
      </c>
    </row>
    <row r="121" spans="1:5" x14ac:dyDescent="0.35">
      <c r="A121" t="s">
        <v>0</v>
      </c>
      <c r="B121">
        <v>105</v>
      </c>
      <c r="C121" t="s">
        <v>233</v>
      </c>
      <c r="E121">
        <f>$E$49*2</f>
        <v>2</v>
      </c>
    </row>
    <row r="122" spans="1:5" x14ac:dyDescent="0.35">
      <c r="A122" t="s">
        <v>0</v>
      </c>
      <c r="B122">
        <v>106</v>
      </c>
      <c r="C122" t="s">
        <v>236</v>
      </c>
      <c r="E122">
        <f>$E$48+5</f>
        <v>20</v>
      </c>
    </row>
    <row r="123" spans="1:5" x14ac:dyDescent="0.35">
      <c r="A123" t="s">
        <v>0</v>
      </c>
      <c r="B123">
        <v>107</v>
      </c>
      <c r="C123" t="s">
        <v>325</v>
      </c>
      <c r="E123">
        <f t="shared" ref="E123:E124" si="6">$E$49*2</f>
        <v>2</v>
      </c>
    </row>
    <row r="124" spans="1:5" x14ac:dyDescent="0.35">
      <c r="A124" t="s">
        <v>0</v>
      </c>
      <c r="B124">
        <v>109</v>
      </c>
      <c r="C124" t="s">
        <v>243</v>
      </c>
      <c r="E124">
        <f t="shared" si="6"/>
        <v>2</v>
      </c>
    </row>
    <row r="125" spans="1:5" x14ac:dyDescent="0.35">
      <c r="A125" t="s">
        <v>0</v>
      </c>
      <c r="B125" s="18">
        <v>110</v>
      </c>
      <c r="C125" s="160" t="s">
        <v>404</v>
      </c>
      <c r="E125">
        <f>$E$49*2*3</f>
        <v>6</v>
      </c>
    </row>
    <row r="127" spans="1:5" x14ac:dyDescent="0.35">
      <c r="A127" t="s">
        <v>328</v>
      </c>
      <c r="B127">
        <v>20</v>
      </c>
      <c r="C127" t="s">
        <v>172</v>
      </c>
    </row>
    <row r="128" spans="1:5" x14ac:dyDescent="0.35">
      <c r="A128" t="s">
        <v>328</v>
      </c>
      <c r="B128" s="18"/>
      <c r="C128" t="s">
        <v>329</v>
      </c>
    </row>
  </sheetData>
  <dataValidations count="3">
    <dataValidation type="list" allowBlank="1" showInputMessage="1" showErrorMessage="1" sqref="E65">
      <formula1>$S$65:$S$66</formula1>
    </dataValidation>
    <dataValidation type="list" allowBlank="1" showInputMessage="1" showErrorMessage="1" sqref="F6:P6">
      <formula1>$S$2:$S$7</formula1>
    </dataValidation>
    <dataValidation type="list" allowBlank="1" showInputMessage="1" showErrorMessage="1" sqref="F2:P2">
      <formula1>$U$2:$U$18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0"/>
  <sheetViews>
    <sheetView workbookViewId="0">
      <pane ySplit="1" topLeftCell="A122" activePane="bottomLeft" state="frozen"/>
      <selection pane="bottomLeft" activeCell="C130" sqref="C130"/>
    </sheetView>
  </sheetViews>
  <sheetFormatPr defaultRowHeight="14.5" x14ac:dyDescent="0.35"/>
  <cols>
    <col min="2" max="2" width="13.36328125" bestFit="1" customWidth="1"/>
    <col min="3" max="3" width="28.1796875" customWidth="1"/>
    <col min="4" max="4" width="37.81640625" style="158" customWidth="1"/>
    <col min="5" max="5" width="8.1796875" style="158" customWidth="1"/>
    <col min="6" max="7" width="10.1796875" style="158" customWidth="1"/>
    <col min="10" max="11" width="12.54296875" style="1" customWidth="1"/>
    <col min="12" max="22" width="8.7265625" style="1" customWidth="1"/>
    <col min="23" max="24" width="8.7265625" style="1"/>
  </cols>
  <sheetData>
    <row r="1" spans="1:25" s="153" customFormat="1" ht="46" customHeight="1" x14ac:dyDescent="0.35">
      <c r="A1" s="153" t="s">
        <v>140</v>
      </c>
      <c r="B1" s="153" t="s">
        <v>141</v>
      </c>
      <c r="C1" s="153" t="s">
        <v>83</v>
      </c>
      <c r="D1" s="154" t="s">
        <v>142</v>
      </c>
      <c r="E1" s="154" t="s">
        <v>143</v>
      </c>
      <c r="F1" s="154" t="s">
        <v>144</v>
      </c>
      <c r="G1" s="154" t="s">
        <v>145</v>
      </c>
      <c r="H1" s="155" t="s">
        <v>146</v>
      </c>
      <c r="I1" s="155" t="s">
        <v>147</v>
      </c>
      <c r="J1" s="156" t="s">
        <v>148</v>
      </c>
      <c r="K1" s="155" t="s">
        <v>149</v>
      </c>
      <c r="L1" s="155" t="s">
        <v>150</v>
      </c>
      <c r="M1" s="155" t="s">
        <v>151</v>
      </c>
      <c r="N1" s="155" t="s">
        <v>152</v>
      </c>
      <c r="O1" s="155" t="s">
        <v>153</v>
      </c>
      <c r="P1" s="157" t="s">
        <v>154</v>
      </c>
      <c r="Q1" s="155" t="s">
        <v>155</v>
      </c>
      <c r="R1" s="155" t="s">
        <v>156</v>
      </c>
      <c r="S1" s="155" t="s">
        <v>157</v>
      </c>
      <c r="T1" s="155" t="s">
        <v>158</v>
      </c>
      <c r="U1" s="166" t="s">
        <v>409</v>
      </c>
      <c r="V1" s="166" t="s">
        <v>410</v>
      </c>
      <c r="W1" s="166" t="s">
        <v>411</v>
      </c>
      <c r="X1" s="166" t="s">
        <v>412</v>
      </c>
      <c r="Y1" s="166" t="s">
        <v>413</v>
      </c>
    </row>
    <row r="2" spans="1:25" x14ac:dyDescent="0.35">
      <c r="A2">
        <v>1</v>
      </c>
      <c r="B2" t="s">
        <v>414</v>
      </c>
      <c r="C2" s="160" t="s">
        <v>405</v>
      </c>
      <c r="D2" s="158" t="s">
        <v>415</v>
      </c>
      <c r="E2" s="22" t="s">
        <v>161</v>
      </c>
      <c r="F2" s="159">
        <v>44971</v>
      </c>
      <c r="G2" s="159" t="s">
        <v>162</v>
      </c>
      <c r="H2" t="s">
        <v>87</v>
      </c>
      <c r="I2">
        <v>1</v>
      </c>
      <c r="J2" s="1">
        <v>540</v>
      </c>
      <c r="K2" s="1" t="s">
        <v>17</v>
      </c>
      <c r="L2" s="34">
        <v>0.08</v>
      </c>
      <c r="M2" s="1">
        <f>ROUND(J2*(1-L2),0)*(1+U2)*(1+V2)</f>
        <v>601.37000000000012</v>
      </c>
      <c r="N2" s="1">
        <f t="shared" ref="N2:N65" si="0">ROUND(M2/1.27,0)</f>
        <v>474</v>
      </c>
      <c r="O2" s="34">
        <v>0.15</v>
      </c>
      <c r="P2" s="1">
        <f t="shared" ref="P2:P65" si="1">ROUND(N2*(1+O2),0)</f>
        <v>545</v>
      </c>
      <c r="Q2" s="34">
        <v>0.05</v>
      </c>
      <c r="R2" s="1">
        <f t="shared" ref="R2:R65" si="2">ROUND(P2*Q2,0)</f>
        <v>27</v>
      </c>
      <c r="S2" s="1">
        <f t="shared" ref="S2:S65" si="3">ROUND(P2-R2,0)</f>
        <v>518</v>
      </c>
      <c r="T2" s="1">
        <f t="shared" ref="T2:T65" si="4">ROUND(S2*1.27,0)</f>
        <v>658</v>
      </c>
      <c r="U2" s="34">
        <v>0.1</v>
      </c>
      <c r="V2" s="34">
        <v>0.1</v>
      </c>
      <c r="W2" s="1">
        <v>100</v>
      </c>
      <c r="X2" s="1">
        <v>1000</v>
      </c>
      <c r="Y2" s="1">
        <v>0</v>
      </c>
    </row>
    <row r="3" spans="1:25" x14ac:dyDescent="0.35">
      <c r="A3">
        <v>2</v>
      </c>
      <c r="B3" t="s">
        <v>414</v>
      </c>
      <c r="C3" s="160" t="s">
        <v>416</v>
      </c>
      <c r="D3" s="158" t="s">
        <v>417</v>
      </c>
      <c r="E3" s="22" t="s">
        <v>161</v>
      </c>
      <c r="F3" s="159">
        <v>44971</v>
      </c>
      <c r="G3" s="159" t="s">
        <v>162</v>
      </c>
      <c r="H3" t="s">
        <v>87</v>
      </c>
      <c r="I3">
        <v>1</v>
      </c>
      <c r="J3" s="1">
        <v>215</v>
      </c>
      <c r="K3" s="1" t="s">
        <v>17</v>
      </c>
      <c r="L3" s="34">
        <v>0.08</v>
      </c>
      <c r="M3" s="1">
        <f t="shared" ref="M3:M67" si="5">ROUND(J3*(1-L3),0)*(1+U3)*(1+V3)</f>
        <v>239.58000000000004</v>
      </c>
      <c r="N3" s="1">
        <f t="shared" si="0"/>
        <v>189</v>
      </c>
      <c r="O3" s="34">
        <v>0.15</v>
      </c>
      <c r="P3" s="1">
        <f t="shared" si="1"/>
        <v>217</v>
      </c>
      <c r="Q3" s="34">
        <v>0.05</v>
      </c>
      <c r="R3" s="1">
        <f t="shared" si="2"/>
        <v>11</v>
      </c>
      <c r="S3" s="1">
        <f t="shared" si="3"/>
        <v>206</v>
      </c>
      <c r="T3" s="1">
        <f t="shared" si="4"/>
        <v>262</v>
      </c>
      <c r="U3" s="34">
        <v>0.1</v>
      </c>
      <c r="V3" s="34">
        <v>0.1</v>
      </c>
      <c r="W3" s="1">
        <v>100</v>
      </c>
      <c r="X3" s="1">
        <v>1000</v>
      </c>
      <c r="Y3" s="1">
        <v>0</v>
      </c>
    </row>
    <row r="4" spans="1:25" x14ac:dyDescent="0.35">
      <c r="A4">
        <v>3</v>
      </c>
      <c r="B4" t="s">
        <v>414</v>
      </c>
      <c r="C4" s="160" t="s">
        <v>407</v>
      </c>
      <c r="D4" s="158" t="s">
        <v>418</v>
      </c>
      <c r="E4" s="22" t="s">
        <v>161</v>
      </c>
      <c r="F4" s="159">
        <v>44971</v>
      </c>
      <c r="G4" s="159" t="s">
        <v>162</v>
      </c>
      <c r="H4" t="s">
        <v>87</v>
      </c>
      <c r="I4">
        <v>1</v>
      </c>
      <c r="J4" s="1">
        <v>413</v>
      </c>
      <c r="K4" s="1" t="s">
        <v>17</v>
      </c>
      <c r="L4" s="34">
        <v>0.08</v>
      </c>
      <c r="M4" s="1">
        <f t="shared" si="5"/>
        <v>459.80000000000013</v>
      </c>
      <c r="N4" s="1">
        <f t="shared" si="0"/>
        <v>362</v>
      </c>
      <c r="O4" s="34">
        <v>0.15</v>
      </c>
      <c r="P4" s="1">
        <f t="shared" si="1"/>
        <v>416</v>
      </c>
      <c r="Q4" s="34">
        <v>0.05</v>
      </c>
      <c r="R4" s="1">
        <f t="shared" si="2"/>
        <v>21</v>
      </c>
      <c r="S4" s="1">
        <f t="shared" si="3"/>
        <v>395</v>
      </c>
      <c r="T4" s="1">
        <f t="shared" si="4"/>
        <v>502</v>
      </c>
      <c r="U4" s="34">
        <v>0.1</v>
      </c>
      <c r="V4" s="34">
        <v>0.1</v>
      </c>
      <c r="W4" s="1">
        <v>100</v>
      </c>
      <c r="X4" s="1">
        <v>1000</v>
      </c>
      <c r="Y4" s="1">
        <v>0</v>
      </c>
    </row>
    <row r="5" spans="1:25" x14ac:dyDescent="0.35">
      <c r="A5">
        <v>4</v>
      </c>
      <c r="B5" t="s">
        <v>414</v>
      </c>
      <c r="C5" s="160" t="s">
        <v>419</v>
      </c>
      <c r="D5" s="158" t="s">
        <v>420</v>
      </c>
      <c r="H5" t="s">
        <v>87</v>
      </c>
      <c r="I5">
        <v>0</v>
      </c>
      <c r="J5" s="1">
        <v>626</v>
      </c>
      <c r="K5" s="1" t="s">
        <v>17</v>
      </c>
      <c r="L5" s="34">
        <v>0.08</v>
      </c>
      <c r="M5" s="1">
        <f t="shared" si="5"/>
        <v>696.96</v>
      </c>
      <c r="N5" s="1">
        <f t="shared" si="0"/>
        <v>549</v>
      </c>
      <c r="O5" s="34">
        <v>0.15</v>
      </c>
      <c r="P5" s="1">
        <f t="shared" si="1"/>
        <v>631</v>
      </c>
      <c r="Q5" s="34">
        <v>0.05</v>
      </c>
      <c r="R5" s="1">
        <f t="shared" si="2"/>
        <v>32</v>
      </c>
      <c r="S5" s="1">
        <f t="shared" si="3"/>
        <v>599</v>
      </c>
      <c r="T5" s="1">
        <f t="shared" si="4"/>
        <v>761</v>
      </c>
      <c r="U5" s="34">
        <v>0.1</v>
      </c>
      <c r="V5" s="34">
        <v>0.1</v>
      </c>
      <c r="W5" s="1">
        <v>100</v>
      </c>
      <c r="X5" s="1">
        <v>1000</v>
      </c>
      <c r="Y5" s="1">
        <v>0</v>
      </c>
    </row>
    <row r="6" spans="1:25" x14ac:dyDescent="0.35">
      <c r="A6">
        <v>5</v>
      </c>
      <c r="B6" t="s">
        <v>414</v>
      </c>
      <c r="C6" s="160" t="s">
        <v>421</v>
      </c>
      <c r="D6" s="158" t="s">
        <v>422</v>
      </c>
      <c r="H6" t="s">
        <v>87</v>
      </c>
      <c r="I6">
        <v>0</v>
      </c>
      <c r="J6" s="1">
        <v>150</v>
      </c>
      <c r="K6" s="1" t="s">
        <v>17</v>
      </c>
      <c r="L6" s="34">
        <v>0.08</v>
      </c>
      <c r="M6" s="1">
        <f t="shared" si="5"/>
        <v>166.98000000000002</v>
      </c>
      <c r="N6" s="1">
        <f t="shared" si="0"/>
        <v>131</v>
      </c>
      <c r="O6" s="34">
        <v>0.15</v>
      </c>
      <c r="P6" s="1">
        <f t="shared" si="1"/>
        <v>151</v>
      </c>
      <c r="Q6" s="34">
        <v>0.05</v>
      </c>
      <c r="R6" s="1">
        <f t="shared" si="2"/>
        <v>8</v>
      </c>
      <c r="S6" s="1">
        <f t="shared" si="3"/>
        <v>143</v>
      </c>
      <c r="T6" s="1">
        <f t="shared" si="4"/>
        <v>182</v>
      </c>
      <c r="U6" s="34">
        <v>0.1</v>
      </c>
      <c r="V6" s="34">
        <v>0.1</v>
      </c>
      <c r="W6" s="1">
        <v>100</v>
      </c>
      <c r="X6" s="1">
        <v>1000</v>
      </c>
      <c r="Y6" s="1">
        <v>0</v>
      </c>
    </row>
    <row r="7" spans="1:25" x14ac:dyDescent="0.35">
      <c r="A7">
        <v>6</v>
      </c>
      <c r="B7" t="s">
        <v>414</v>
      </c>
      <c r="C7" s="160" t="s">
        <v>423</v>
      </c>
      <c r="D7" s="158" t="s">
        <v>424</v>
      </c>
      <c r="H7" t="s">
        <v>87</v>
      </c>
      <c r="I7">
        <v>0</v>
      </c>
      <c r="J7" s="1">
        <v>342</v>
      </c>
      <c r="K7" s="1" t="s">
        <v>17</v>
      </c>
      <c r="L7" s="34">
        <v>0.08</v>
      </c>
      <c r="M7" s="1">
        <f t="shared" si="5"/>
        <v>381.15000000000003</v>
      </c>
      <c r="N7" s="1">
        <f t="shared" si="0"/>
        <v>300</v>
      </c>
      <c r="O7" s="34">
        <v>0.15</v>
      </c>
      <c r="P7" s="1">
        <f t="shared" si="1"/>
        <v>345</v>
      </c>
      <c r="Q7" s="34">
        <v>0.05</v>
      </c>
      <c r="R7" s="1">
        <f t="shared" si="2"/>
        <v>17</v>
      </c>
      <c r="S7" s="1">
        <f t="shared" si="3"/>
        <v>328</v>
      </c>
      <c r="T7" s="1">
        <f t="shared" si="4"/>
        <v>417</v>
      </c>
      <c r="U7" s="34">
        <v>0.1</v>
      </c>
      <c r="V7" s="34">
        <v>0.1</v>
      </c>
      <c r="W7" s="1">
        <v>100</v>
      </c>
      <c r="X7" s="1">
        <v>1000</v>
      </c>
      <c r="Y7" s="1">
        <v>0</v>
      </c>
    </row>
    <row r="8" spans="1:25" x14ac:dyDescent="0.35">
      <c r="A8">
        <v>6.5</v>
      </c>
      <c r="B8" t="s">
        <v>414</v>
      </c>
      <c r="C8" s="160" t="s">
        <v>408</v>
      </c>
      <c r="E8" s="22" t="s">
        <v>425</v>
      </c>
      <c r="F8" s="159">
        <v>44971</v>
      </c>
      <c r="G8" s="158" t="s">
        <v>426</v>
      </c>
      <c r="H8" t="s">
        <v>87</v>
      </c>
      <c r="I8">
        <v>1</v>
      </c>
      <c r="J8" s="1">
        <v>342</v>
      </c>
      <c r="K8" s="1" t="s">
        <v>17</v>
      </c>
      <c r="L8" s="34">
        <v>0.08</v>
      </c>
      <c r="M8" s="1">
        <f t="shared" si="5"/>
        <v>381.15000000000003</v>
      </c>
      <c r="N8" s="1">
        <f t="shared" si="0"/>
        <v>300</v>
      </c>
      <c r="O8" s="34">
        <v>0.15</v>
      </c>
      <c r="P8" s="1">
        <f t="shared" si="1"/>
        <v>345</v>
      </c>
      <c r="Q8" s="34">
        <v>0.05</v>
      </c>
      <c r="R8" s="1">
        <f t="shared" si="2"/>
        <v>17</v>
      </c>
      <c r="S8" s="1">
        <f t="shared" si="3"/>
        <v>328</v>
      </c>
      <c r="T8" s="1">
        <f t="shared" si="4"/>
        <v>417</v>
      </c>
      <c r="U8" s="34">
        <v>0.1</v>
      </c>
      <c r="V8" s="34">
        <v>0.1</v>
      </c>
      <c r="W8" s="1">
        <v>100</v>
      </c>
      <c r="X8" s="1">
        <v>1000</v>
      </c>
      <c r="Y8" s="1">
        <v>0</v>
      </c>
    </row>
    <row r="9" spans="1:25" x14ac:dyDescent="0.35">
      <c r="A9">
        <v>7</v>
      </c>
      <c r="B9" t="s">
        <v>159</v>
      </c>
      <c r="C9" s="160" t="s">
        <v>427</v>
      </c>
      <c r="D9" s="158" t="s">
        <v>428</v>
      </c>
      <c r="F9" s="159">
        <v>44970</v>
      </c>
      <c r="G9" s="159"/>
      <c r="H9" t="s">
        <v>87</v>
      </c>
      <c r="I9">
        <v>0</v>
      </c>
      <c r="J9" s="167">
        <v>345.44</v>
      </c>
      <c r="K9" s="1" t="s">
        <v>12</v>
      </c>
      <c r="L9" s="34">
        <v>0.08</v>
      </c>
      <c r="M9" s="1">
        <f t="shared" si="5"/>
        <v>384.78000000000003</v>
      </c>
      <c r="N9" s="1">
        <f t="shared" si="0"/>
        <v>303</v>
      </c>
      <c r="O9" s="34">
        <v>0.15</v>
      </c>
      <c r="P9" s="1">
        <f t="shared" si="1"/>
        <v>348</v>
      </c>
      <c r="Q9" s="34">
        <v>0.05</v>
      </c>
      <c r="R9" s="1">
        <f t="shared" si="2"/>
        <v>17</v>
      </c>
      <c r="S9" s="1">
        <f t="shared" si="3"/>
        <v>331</v>
      </c>
      <c r="T9" s="1">
        <f t="shared" si="4"/>
        <v>420</v>
      </c>
      <c r="U9" s="34">
        <v>0.1</v>
      </c>
      <c r="V9" s="34">
        <v>0.1</v>
      </c>
      <c r="W9" s="1">
        <v>100</v>
      </c>
      <c r="X9" s="1">
        <v>2000</v>
      </c>
      <c r="Y9" s="1">
        <v>0</v>
      </c>
    </row>
    <row r="10" spans="1:25" x14ac:dyDescent="0.35">
      <c r="A10">
        <v>8</v>
      </c>
      <c r="B10" t="s">
        <v>159</v>
      </c>
      <c r="C10" s="18" t="s">
        <v>160</v>
      </c>
      <c r="D10" s="158" t="s">
        <v>121</v>
      </c>
      <c r="E10" s="22" t="s">
        <v>161</v>
      </c>
      <c r="F10" s="159">
        <v>44971</v>
      </c>
      <c r="G10" s="159" t="s">
        <v>162</v>
      </c>
      <c r="H10" t="s">
        <v>87</v>
      </c>
      <c r="I10">
        <v>1</v>
      </c>
      <c r="J10" s="167">
        <v>194.34</v>
      </c>
      <c r="K10" s="1" t="s">
        <v>12</v>
      </c>
      <c r="L10" s="34">
        <v>0.08</v>
      </c>
      <c r="M10" s="1">
        <f t="shared" si="5"/>
        <v>216.59000000000003</v>
      </c>
      <c r="N10" s="1">
        <f t="shared" si="0"/>
        <v>171</v>
      </c>
      <c r="O10" s="34">
        <v>0.15</v>
      </c>
      <c r="P10" s="1">
        <f t="shared" si="1"/>
        <v>197</v>
      </c>
      <c r="Q10" s="34">
        <v>0.05</v>
      </c>
      <c r="R10" s="1">
        <f t="shared" si="2"/>
        <v>10</v>
      </c>
      <c r="S10" s="1">
        <f t="shared" si="3"/>
        <v>187</v>
      </c>
      <c r="T10" s="1">
        <f t="shared" si="4"/>
        <v>237</v>
      </c>
      <c r="U10" s="34">
        <v>0.1</v>
      </c>
      <c r="V10" s="34">
        <v>0.1</v>
      </c>
      <c r="W10" s="1">
        <v>100</v>
      </c>
      <c r="X10" s="1">
        <v>2000</v>
      </c>
      <c r="Y10" s="1">
        <v>2000</v>
      </c>
    </row>
    <row r="11" spans="1:25" x14ac:dyDescent="0.35">
      <c r="A11">
        <v>9</v>
      </c>
      <c r="B11" t="s">
        <v>159</v>
      </c>
      <c r="C11" s="160" t="s">
        <v>403</v>
      </c>
      <c r="H11" t="s">
        <v>87</v>
      </c>
      <c r="I11">
        <v>1</v>
      </c>
      <c r="J11" s="168">
        <v>500</v>
      </c>
      <c r="K11" s="1" t="s">
        <v>12</v>
      </c>
      <c r="L11" s="34">
        <v>0.08</v>
      </c>
      <c r="M11" s="1">
        <f t="shared" si="5"/>
        <v>556.60000000000014</v>
      </c>
      <c r="N11" s="1">
        <f t="shared" si="0"/>
        <v>438</v>
      </c>
      <c r="O11" s="34">
        <v>0.15</v>
      </c>
      <c r="P11" s="1">
        <f t="shared" si="1"/>
        <v>504</v>
      </c>
      <c r="Q11" s="34">
        <v>0.05</v>
      </c>
      <c r="R11" s="1">
        <f t="shared" si="2"/>
        <v>25</v>
      </c>
      <c r="S11" s="1">
        <f t="shared" si="3"/>
        <v>479</v>
      </c>
      <c r="T11" s="1">
        <f t="shared" si="4"/>
        <v>608</v>
      </c>
      <c r="U11" s="34">
        <v>0.1</v>
      </c>
      <c r="V11" s="34">
        <v>0.1</v>
      </c>
      <c r="W11" s="1">
        <v>100</v>
      </c>
      <c r="X11" s="1">
        <v>2000</v>
      </c>
      <c r="Y11" s="1">
        <v>2000</v>
      </c>
    </row>
    <row r="12" spans="1:25" x14ac:dyDescent="0.35">
      <c r="A12">
        <v>10</v>
      </c>
      <c r="B12" t="s">
        <v>159</v>
      </c>
      <c r="C12" s="18" t="s">
        <v>163</v>
      </c>
      <c r="D12" s="158" t="s">
        <v>164</v>
      </c>
      <c r="E12" s="22" t="s">
        <v>165</v>
      </c>
      <c r="F12" s="159">
        <v>44971</v>
      </c>
      <c r="G12" s="159" t="s">
        <v>166</v>
      </c>
      <c r="H12" t="s">
        <v>87</v>
      </c>
      <c r="I12">
        <v>1</v>
      </c>
      <c r="J12" s="167">
        <v>1545</v>
      </c>
      <c r="K12" s="1" t="s">
        <v>12</v>
      </c>
      <c r="L12" s="34">
        <v>0.08</v>
      </c>
      <c r="M12" s="1">
        <f t="shared" si="5"/>
        <v>1719.4100000000003</v>
      </c>
      <c r="N12" s="1">
        <f t="shared" si="0"/>
        <v>1354</v>
      </c>
      <c r="O12" s="34">
        <v>0.15</v>
      </c>
      <c r="P12" s="1">
        <f t="shared" si="1"/>
        <v>1557</v>
      </c>
      <c r="Q12" s="34">
        <v>0.05</v>
      </c>
      <c r="R12" s="1">
        <f t="shared" si="2"/>
        <v>78</v>
      </c>
      <c r="S12" s="1">
        <f t="shared" si="3"/>
        <v>1479</v>
      </c>
      <c r="T12" s="1">
        <f t="shared" si="4"/>
        <v>1878</v>
      </c>
      <c r="U12" s="34">
        <v>0.1</v>
      </c>
      <c r="V12" s="34">
        <v>0.1</v>
      </c>
      <c r="W12" s="1">
        <v>100</v>
      </c>
      <c r="X12" s="1">
        <v>2000</v>
      </c>
      <c r="Y12" s="1">
        <v>0</v>
      </c>
    </row>
    <row r="13" spans="1:25" x14ac:dyDescent="0.35">
      <c r="A13">
        <v>11</v>
      </c>
      <c r="B13" t="s">
        <v>159</v>
      </c>
      <c r="C13" s="18" t="s">
        <v>167</v>
      </c>
      <c r="D13" s="158" t="s">
        <v>168</v>
      </c>
      <c r="E13" s="22" t="s">
        <v>165</v>
      </c>
      <c r="F13" s="159">
        <v>44971</v>
      </c>
      <c r="G13" s="159" t="s">
        <v>166</v>
      </c>
      <c r="H13" t="s">
        <v>87</v>
      </c>
      <c r="I13">
        <v>1</v>
      </c>
      <c r="J13" s="167">
        <v>340</v>
      </c>
      <c r="K13" s="1" t="s">
        <v>12</v>
      </c>
      <c r="L13" s="34">
        <v>0.08</v>
      </c>
      <c r="M13" s="1">
        <f t="shared" si="5"/>
        <v>378.73</v>
      </c>
      <c r="N13" s="1">
        <f t="shared" si="0"/>
        <v>298</v>
      </c>
      <c r="O13" s="34">
        <v>0.15</v>
      </c>
      <c r="P13" s="1">
        <f t="shared" si="1"/>
        <v>343</v>
      </c>
      <c r="Q13" s="34">
        <v>0.05</v>
      </c>
      <c r="R13" s="1">
        <f t="shared" si="2"/>
        <v>17</v>
      </c>
      <c r="S13" s="1">
        <f t="shared" si="3"/>
        <v>326</v>
      </c>
      <c r="T13" s="1">
        <f t="shared" si="4"/>
        <v>414</v>
      </c>
      <c r="U13" s="34">
        <v>0.1</v>
      </c>
      <c r="V13" s="34">
        <v>0.1</v>
      </c>
      <c r="W13" s="1">
        <v>100</v>
      </c>
      <c r="X13" s="1">
        <v>1000</v>
      </c>
      <c r="Y13" s="1">
        <v>0</v>
      </c>
    </row>
    <row r="14" spans="1:25" x14ac:dyDescent="0.35">
      <c r="A14">
        <v>12</v>
      </c>
      <c r="B14" t="s">
        <v>159</v>
      </c>
      <c r="C14" s="160" t="s">
        <v>429</v>
      </c>
      <c r="D14" s="158" t="s">
        <v>430</v>
      </c>
      <c r="H14" t="s">
        <v>87</v>
      </c>
      <c r="I14">
        <v>0</v>
      </c>
      <c r="J14" s="167">
        <v>1085</v>
      </c>
      <c r="K14" s="1" t="s">
        <v>12</v>
      </c>
      <c r="L14" s="34">
        <v>0.08</v>
      </c>
      <c r="M14" s="1">
        <f t="shared" si="5"/>
        <v>1207.5800000000004</v>
      </c>
      <c r="N14" s="1">
        <f t="shared" si="0"/>
        <v>951</v>
      </c>
      <c r="O14" s="34">
        <v>0.15</v>
      </c>
      <c r="P14" s="1">
        <f t="shared" si="1"/>
        <v>1094</v>
      </c>
      <c r="Q14" s="34">
        <v>0.05</v>
      </c>
      <c r="R14" s="1">
        <f t="shared" si="2"/>
        <v>55</v>
      </c>
      <c r="S14" s="1">
        <f t="shared" si="3"/>
        <v>1039</v>
      </c>
      <c r="T14" s="1">
        <f t="shared" si="4"/>
        <v>1320</v>
      </c>
      <c r="U14" s="34">
        <v>0.1</v>
      </c>
      <c r="V14" s="34">
        <v>0.1</v>
      </c>
      <c r="W14" s="1">
        <v>100</v>
      </c>
      <c r="X14" s="1">
        <v>1250</v>
      </c>
      <c r="Y14" s="1">
        <v>0</v>
      </c>
    </row>
    <row r="15" spans="1:25" x14ac:dyDescent="0.35">
      <c r="A15">
        <v>13</v>
      </c>
      <c r="B15" t="s">
        <v>159</v>
      </c>
      <c r="C15" s="160" t="s">
        <v>431</v>
      </c>
      <c r="D15" s="158" t="s">
        <v>432</v>
      </c>
      <c r="H15" t="s">
        <v>87</v>
      </c>
      <c r="I15">
        <v>0</v>
      </c>
      <c r="J15" s="167">
        <v>1506</v>
      </c>
      <c r="K15" s="1" t="s">
        <v>12</v>
      </c>
      <c r="L15" s="34">
        <v>0.08</v>
      </c>
      <c r="M15" s="1">
        <f t="shared" si="5"/>
        <v>1677.0600000000002</v>
      </c>
      <c r="N15" s="1">
        <f t="shared" si="0"/>
        <v>1321</v>
      </c>
      <c r="O15" s="34">
        <v>0.15</v>
      </c>
      <c r="P15" s="1">
        <f t="shared" si="1"/>
        <v>1519</v>
      </c>
      <c r="Q15" s="34">
        <v>0.05</v>
      </c>
      <c r="R15" s="1">
        <f t="shared" si="2"/>
        <v>76</v>
      </c>
      <c r="S15" s="1">
        <f t="shared" si="3"/>
        <v>1443</v>
      </c>
      <c r="T15" s="1">
        <f t="shared" si="4"/>
        <v>1833</v>
      </c>
      <c r="U15" s="34">
        <v>0.1</v>
      </c>
      <c r="V15" s="34">
        <v>0.1</v>
      </c>
      <c r="W15" s="1">
        <v>100</v>
      </c>
      <c r="X15" s="1">
        <v>1500</v>
      </c>
      <c r="Y15" s="1">
        <v>0</v>
      </c>
    </row>
    <row r="16" spans="1:25" x14ac:dyDescent="0.35">
      <c r="A16">
        <v>14</v>
      </c>
      <c r="B16" t="s">
        <v>159</v>
      </c>
      <c r="C16" s="18" t="s">
        <v>169</v>
      </c>
      <c r="D16" s="158" t="s">
        <v>122</v>
      </c>
      <c r="E16" s="22" t="s">
        <v>161</v>
      </c>
      <c r="F16" s="159">
        <v>44971</v>
      </c>
      <c r="G16" s="159" t="s">
        <v>162</v>
      </c>
      <c r="H16" t="s">
        <v>87</v>
      </c>
      <c r="I16">
        <v>1</v>
      </c>
      <c r="J16" s="167">
        <v>30.48</v>
      </c>
      <c r="K16" s="1" t="s">
        <v>12</v>
      </c>
      <c r="L16" s="34">
        <v>0.08</v>
      </c>
      <c r="M16" s="1">
        <f t="shared" si="5"/>
        <v>33.88000000000001</v>
      </c>
      <c r="N16" s="1">
        <f t="shared" si="0"/>
        <v>27</v>
      </c>
      <c r="O16" s="34">
        <v>0.15</v>
      </c>
      <c r="P16" s="1">
        <f t="shared" si="1"/>
        <v>31</v>
      </c>
      <c r="Q16" s="34">
        <v>0.05</v>
      </c>
      <c r="R16" s="1">
        <f t="shared" si="2"/>
        <v>2</v>
      </c>
      <c r="S16" s="1">
        <f t="shared" si="3"/>
        <v>29</v>
      </c>
      <c r="T16" s="1">
        <f t="shared" si="4"/>
        <v>37</v>
      </c>
      <c r="U16" s="34">
        <v>0.1</v>
      </c>
      <c r="V16" s="34">
        <v>0.1</v>
      </c>
      <c r="W16" s="1">
        <v>100</v>
      </c>
      <c r="X16" s="1">
        <v>500</v>
      </c>
      <c r="Y16" s="1">
        <v>1000</v>
      </c>
    </row>
    <row r="17" spans="1:25" x14ac:dyDescent="0.35">
      <c r="A17">
        <v>15</v>
      </c>
      <c r="B17" t="s">
        <v>159</v>
      </c>
      <c r="C17" s="18" t="s">
        <v>170</v>
      </c>
      <c r="D17" s="158" t="s">
        <v>123</v>
      </c>
      <c r="E17" s="22" t="s">
        <v>161</v>
      </c>
      <c r="F17" s="159">
        <v>44971</v>
      </c>
      <c r="G17" s="159" t="s">
        <v>162</v>
      </c>
      <c r="H17" t="s">
        <v>87</v>
      </c>
      <c r="I17">
        <v>1</v>
      </c>
      <c r="J17" s="167">
        <v>83.82</v>
      </c>
      <c r="K17" s="1" t="s">
        <v>12</v>
      </c>
      <c r="L17" s="34">
        <v>0.08</v>
      </c>
      <c r="M17" s="1">
        <f t="shared" si="5"/>
        <v>93.170000000000016</v>
      </c>
      <c r="N17" s="1">
        <f t="shared" si="0"/>
        <v>73</v>
      </c>
      <c r="O17" s="34">
        <v>0.15</v>
      </c>
      <c r="P17" s="1">
        <f t="shared" si="1"/>
        <v>84</v>
      </c>
      <c r="Q17" s="34">
        <v>0.05</v>
      </c>
      <c r="R17" s="1">
        <f t="shared" si="2"/>
        <v>4</v>
      </c>
      <c r="S17" s="1">
        <f t="shared" si="3"/>
        <v>80</v>
      </c>
      <c r="T17" s="1">
        <f t="shared" si="4"/>
        <v>102</v>
      </c>
      <c r="U17" s="34">
        <v>0.1</v>
      </c>
      <c r="V17" s="34">
        <v>0.1</v>
      </c>
      <c r="W17" s="1">
        <v>100</v>
      </c>
      <c r="X17" s="1">
        <v>500</v>
      </c>
      <c r="Y17" s="1">
        <v>1000</v>
      </c>
    </row>
    <row r="18" spans="1:25" x14ac:dyDescent="0.35">
      <c r="A18">
        <v>16</v>
      </c>
      <c r="B18" t="s">
        <v>159</v>
      </c>
      <c r="C18" s="160" t="s">
        <v>433</v>
      </c>
      <c r="H18" t="s">
        <v>87</v>
      </c>
      <c r="I18">
        <v>0</v>
      </c>
      <c r="J18" s="168">
        <v>300</v>
      </c>
      <c r="K18" s="1" t="s">
        <v>12</v>
      </c>
      <c r="L18" s="34">
        <v>0.08</v>
      </c>
      <c r="M18" s="1">
        <f t="shared" si="5"/>
        <v>333.96000000000004</v>
      </c>
      <c r="N18" s="1">
        <f t="shared" si="0"/>
        <v>263</v>
      </c>
      <c r="O18" s="34">
        <v>0.15</v>
      </c>
      <c r="P18" s="1">
        <f t="shared" si="1"/>
        <v>302</v>
      </c>
      <c r="Q18" s="34">
        <v>0.05</v>
      </c>
      <c r="R18" s="1">
        <f t="shared" si="2"/>
        <v>15</v>
      </c>
      <c r="S18" s="1">
        <f t="shared" si="3"/>
        <v>287</v>
      </c>
      <c r="T18" s="1">
        <f t="shared" si="4"/>
        <v>364</v>
      </c>
      <c r="U18" s="34">
        <v>0.1</v>
      </c>
      <c r="V18" s="34">
        <v>0.1</v>
      </c>
      <c r="W18" s="1">
        <v>100</v>
      </c>
      <c r="X18" s="1">
        <v>800</v>
      </c>
      <c r="Y18" s="1">
        <v>0</v>
      </c>
    </row>
    <row r="19" spans="1:25" x14ac:dyDescent="0.35">
      <c r="A19">
        <v>17</v>
      </c>
      <c r="B19" t="s">
        <v>159</v>
      </c>
      <c r="C19" s="160" t="s">
        <v>434</v>
      </c>
      <c r="D19" s="158" t="s">
        <v>435</v>
      </c>
      <c r="H19" t="s">
        <v>87</v>
      </c>
      <c r="I19">
        <v>0</v>
      </c>
      <c r="J19" s="167">
        <f>93+45</f>
        <v>138</v>
      </c>
      <c r="K19" s="1" t="s">
        <v>12</v>
      </c>
      <c r="L19" s="34">
        <v>0.08</v>
      </c>
      <c r="M19" s="1">
        <f t="shared" si="5"/>
        <v>153.67000000000004</v>
      </c>
      <c r="N19" s="1">
        <f t="shared" si="0"/>
        <v>121</v>
      </c>
      <c r="O19" s="34">
        <v>0.15</v>
      </c>
      <c r="P19" s="1">
        <f t="shared" si="1"/>
        <v>139</v>
      </c>
      <c r="Q19" s="34">
        <v>0.05</v>
      </c>
      <c r="R19" s="1">
        <f t="shared" si="2"/>
        <v>7</v>
      </c>
      <c r="S19" s="1">
        <f t="shared" si="3"/>
        <v>132</v>
      </c>
      <c r="T19" s="1">
        <f t="shared" si="4"/>
        <v>168</v>
      </c>
      <c r="U19" s="34">
        <v>0.1</v>
      </c>
      <c r="V19" s="34">
        <v>0.1</v>
      </c>
      <c r="W19" s="1">
        <v>100</v>
      </c>
      <c r="X19" s="1">
        <v>500</v>
      </c>
      <c r="Y19" s="1">
        <v>1000</v>
      </c>
    </row>
    <row r="20" spans="1:25" x14ac:dyDescent="0.35">
      <c r="A20">
        <v>18</v>
      </c>
      <c r="B20" t="s">
        <v>159</v>
      </c>
      <c r="C20" s="160" t="s">
        <v>436</v>
      </c>
      <c r="D20" s="158" t="s">
        <v>437</v>
      </c>
      <c r="H20" t="s">
        <v>87</v>
      </c>
      <c r="I20">
        <v>0</v>
      </c>
      <c r="J20" s="167">
        <v>302</v>
      </c>
      <c r="K20" s="1" t="s">
        <v>12</v>
      </c>
      <c r="L20" s="34">
        <v>0.08</v>
      </c>
      <c r="M20" s="1">
        <f t="shared" si="5"/>
        <v>336.38000000000005</v>
      </c>
      <c r="N20" s="1">
        <f t="shared" si="0"/>
        <v>265</v>
      </c>
      <c r="O20" s="34">
        <v>0.15</v>
      </c>
      <c r="P20" s="1">
        <f t="shared" si="1"/>
        <v>305</v>
      </c>
      <c r="Q20" s="34">
        <v>0.05</v>
      </c>
      <c r="R20" s="1">
        <f t="shared" si="2"/>
        <v>15</v>
      </c>
      <c r="S20" s="1">
        <f t="shared" si="3"/>
        <v>290</v>
      </c>
      <c r="T20" s="1">
        <f t="shared" si="4"/>
        <v>368</v>
      </c>
      <c r="U20" s="34">
        <v>0.1</v>
      </c>
      <c r="V20" s="34">
        <v>0.1</v>
      </c>
      <c r="W20" s="1">
        <v>100</v>
      </c>
      <c r="X20" s="1">
        <v>1000</v>
      </c>
      <c r="Y20" s="1">
        <v>0</v>
      </c>
    </row>
    <row r="21" spans="1:25" x14ac:dyDescent="0.35">
      <c r="A21">
        <v>19</v>
      </c>
      <c r="B21" t="s">
        <v>159</v>
      </c>
      <c r="C21" s="160" t="s">
        <v>438</v>
      </c>
      <c r="H21" t="s">
        <v>439</v>
      </c>
      <c r="I21">
        <v>0</v>
      </c>
      <c r="J21" s="167">
        <v>20000</v>
      </c>
      <c r="K21" s="1" t="s">
        <v>12</v>
      </c>
      <c r="L21" s="34">
        <v>0</v>
      </c>
      <c r="M21" s="1">
        <f t="shared" si="5"/>
        <v>24200.000000000004</v>
      </c>
      <c r="N21" s="1">
        <f t="shared" si="0"/>
        <v>19055</v>
      </c>
      <c r="O21" s="34">
        <v>0.15</v>
      </c>
      <c r="P21" s="1">
        <f t="shared" si="1"/>
        <v>21913</v>
      </c>
      <c r="Q21" s="34">
        <v>0.05</v>
      </c>
      <c r="R21" s="1">
        <f t="shared" si="2"/>
        <v>1096</v>
      </c>
      <c r="S21" s="1">
        <f t="shared" si="3"/>
        <v>20817</v>
      </c>
      <c r="T21" s="1">
        <f t="shared" si="4"/>
        <v>26438</v>
      </c>
      <c r="U21" s="34">
        <v>0.1</v>
      </c>
      <c r="V21" s="34">
        <v>0.1</v>
      </c>
      <c r="W21" s="1">
        <v>100</v>
      </c>
      <c r="X21" s="1">
        <v>1000</v>
      </c>
      <c r="Y21" s="1">
        <v>3000</v>
      </c>
    </row>
    <row r="22" spans="1:25" x14ac:dyDescent="0.35">
      <c r="A22">
        <v>20</v>
      </c>
      <c r="B22" t="s">
        <v>171</v>
      </c>
      <c r="C22" s="160" t="s">
        <v>172</v>
      </c>
      <c r="I22">
        <v>1</v>
      </c>
      <c r="J22" s="1">
        <v>0</v>
      </c>
      <c r="K22" s="1" t="s">
        <v>12</v>
      </c>
      <c r="L22" s="34">
        <v>0</v>
      </c>
      <c r="M22" s="1">
        <f t="shared" si="5"/>
        <v>0</v>
      </c>
      <c r="N22" s="1">
        <f t="shared" si="0"/>
        <v>0</v>
      </c>
      <c r="O22" s="34">
        <v>0.15</v>
      </c>
      <c r="P22" s="1">
        <f t="shared" si="1"/>
        <v>0</v>
      </c>
      <c r="Q22" s="34">
        <v>0.05</v>
      </c>
      <c r="R22" s="1">
        <f t="shared" si="2"/>
        <v>0</v>
      </c>
      <c r="S22" s="1">
        <f t="shared" si="3"/>
        <v>0</v>
      </c>
      <c r="T22" s="1">
        <f t="shared" si="4"/>
        <v>0</v>
      </c>
      <c r="U22" s="34">
        <v>0.1</v>
      </c>
      <c r="V22" s="34">
        <v>0.1</v>
      </c>
      <c r="W22" s="1">
        <v>0</v>
      </c>
      <c r="X22" s="1">
        <v>40000</v>
      </c>
      <c r="Y22" s="1">
        <v>0</v>
      </c>
    </row>
    <row r="23" spans="1:25" x14ac:dyDescent="0.35">
      <c r="A23">
        <v>21</v>
      </c>
      <c r="B23" t="s">
        <v>173</v>
      </c>
      <c r="C23" s="160" t="s">
        <v>440</v>
      </c>
      <c r="D23" s="158" t="s">
        <v>441</v>
      </c>
      <c r="H23" t="s">
        <v>87</v>
      </c>
      <c r="I23">
        <v>0</v>
      </c>
      <c r="J23" s="1">
        <v>4676</v>
      </c>
      <c r="K23" s="1" t="s">
        <v>12</v>
      </c>
      <c r="L23" s="34">
        <v>0.08</v>
      </c>
      <c r="M23" s="1">
        <f t="shared" si="5"/>
        <v>5205.420000000001</v>
      </c>
      <c r="N23" s="1">
        <f t="shared" si="0"/>
        <v>4099</v>
      </c>
      <c r="O23" s="34">
        <v>0.15</v>
      </c>
      <c r="P23" s="1">
        <f t="shared" si="1"/>
        <v>4714</v>
      </c>
      <c r="Q23" s="34">
        <v>0.05</v>
      </c>
      <c r="R23" s="1">
        <f t="shared" si="2"/>
        <v>236</v>
      </c>
      <c r="S23" s="1">
        <f t="shared" si="3"/>
        <v>4478</v>
      </c>
      <c r="T23" s="1">
        <f t="shared" si="4"/>
        <v>5687</v>
      </c>
      <c r="U23" s="34">
        <v>0.1</v>
      </c>
      <c r="V23" s="34">
        <v>0.1</v>
      </c>
      <c r="W23" s="1">
        <v>10000</v>
      </c>
      <c r="X23" s="1">
        <v>10000</v>
      </c>
      <c r="Y23" s="1">
        <v>10000</v>
      </c>
    </row>
    <row r="24" spans="1:25" x14ac:dyDescent="0.35">
      <c r="A24">
        <v>22</v>
      </c>
      <c r="B24" t="s">
        <v>173</v>
      </c>
      <c r="C24" s="160" t="s">
        <v>331</v>
      </c>
      <c r="D24" s="158" t="s">
        <v>442</v>
      </c>
      <c r="H24" t="s">
        <v>87</v>
      </c>
      <c r="I24">
        <v>0</v>
      </c>
      <c r="J24" s="1">
        <v>6978</v>
      </c>
      <c r="K24" s="1" t="s">
        <v>12</v>
      </c>
      <c r="L24" s="34">
        <v>0.08</v>
      </c>
      <c r="M24" s="1">
        <f t="shared" si="5"/>
        <v>7768.2000000000016</v>
      </c>
      <c r="N24" s="1">
        <f t="shared" si="0"/>
        <v>6117</v>
      </c>
      <c r="O24" s="34">
        <v>0.15</v>
      </c>
      <c r="P24" s="1">
        <f t="shared" si="1"/>
        <v>7035</v>
      </c>
      <c r="Q24" s="34">
        <v>0.05</v>
      </c>
      <c r="R24" s="1">
        <f t="shared" si="2"/>
        <v>352</v>
      </c>
      <c r="S24" s="1">
        <f t="shared" si="3"/>
        <v>6683</v>
      </c>
      <c r="T24" s="1">
        <f t="shared" si="4"/>
        <v>8487</v>
      </c>
      <c r="U24" s="34">
        <v>0.1</v>
      </c>
      <c r="V24" s="34">
        <v>0.1</v>
      </c>
      <c r="W24" s="1">
        <v>12000</v>
      </c>
      <c r="X24" s="1">
        <v>12000</v>
      </c>
      <c r="Y24" s="1">
        <v>12000</v>
      </c>
    </row>
    <row r="25" spans="1:25" x14ac:dyDescent="0.35">
      <c r="A25">
        <v>23</v>
      </c>
      <c r="B25" t="s">
        <v>173</v>
      </c>
      <c r="C25" s="18" t="s">
        <v>174</v>
      </c>
      <c r="D25" s="158" t="s">
        <v>124</v>
      </c>
      <c r="E25" s="22" t="s">
        <v>175</v>
      </c>
      <c r="F25" s="159">
        <v>44971</v>
      </c>
      <c r="G25" s="159" t="s">
        <v>176</v>
      </c>
      <c r="H25" t="s">
        <v>87</v>
      </c>
      <c r="I25">
        <v>1</v>
      </c>
      <c r="J25" s="1">
        <v>7668</v>
      </c>
      <c r="K25" s="1" t="s">
        <v>12</v>
      </c>
      <c r="L25" s="34">
        <v>0.08</v>
      </c>
      <c r="M25" s="1">
        <f t="shared" si="5"/>
        <v>8536.5500000000011</v>
      </c>
      <c r="N25" s="1">
        <f t="shared" si="0"/>
        <v>6722</v>
      </c>
      <c r="O25" s="34">
        <v>0.15</v>
      </c>
      <c r="P25" s="1">
        <f t="shared" si="1"/>
        <v>7730</v>
      </c>
      <c r="Q25" s="34">
        <v>0.05</v>
      </c>
      <c r="R25" s="1">
        <f t="shared" si="2"/>
        <v>387</v>
      </c>
      <c r="S25" s="1">
        <f t="shared" si="3"/>
        <v>7343</v>
      </c>
      <c r="T25" s="1">
        <f t="shared" si="4"/>
        <v>9326</v>
      </c>
      <c r="U25" s="34">
        <v>0.1</v>
      </c>
      <c r="V25" s="34">
        <v>0.1</v>
      </c>
      <c r="W25" s="1">
        <v>14000</v>
      </c>
      <c r="X25" s="1">
        <v>14000</v>
      </c>
      <c r="Y25" s="1">
        <v>14000</v>
      </c>
    </row>
    <row r="26" spans="1:25" x14ac:dyDescent="0.35">
      <c r="A26">
        <v>24</v>
      </c>
      <c r="B26" t="s">
        <v>173</v>
      </c>
      <c r="C26" s="18" t="s">
        <v>177</v>
      </c>
      <c r="D26" s="158" t="s">
        <v>178</v>
      </c>
      <c r="E26" s="22" t="s">
        <v>175</v>
      </c>
      <c r="F26" s="159">
        <v>44971</v>
      </c>
      <c r="G26" s="159" t="s">
        <v>176</v>
      </c>
      <c r="H26" t="s">
        <v>87</v>
      </c>
      <c r="I26">
        <v>1</v>
      </c>
      <c r="J26" s="1">
        <v>10419</v>
      </c>
      <c r="K26" s="1" t="s">
        <v>12</v>
      </c>
      <c r="L26" s="34">
        <v>0.08</v>
      </c>
      <c r="M26" s="1">
        <f t="shared" si="5"/>
        <v>11597.85</v>
      </c>
      <c r="N26" s="1">
        <f t="shared" si="0"/>
        <v>9132</v>
      </c>
      <c r="O26" s="34">
        <v>0.15</v>
      </c>
      <c r="P26" s="1">
        <f t="shared" si="1"/>
        <v>10502</v>
      </c>
      <c r="Q26" s="34">
        <v>0.05</v>
      </c>
      <c r="R26" s="1">
        <f t="shared" si="2"/>
        <v>525</v>
      </c>
      <c r="S26" s="1">
        <f t="shared" si="3"/>
        <v>9977</v>
      </c>
      <c r="T26" s="1">
        <f t="shared" si="4"/>
        <v>12671</v>
      </c>
      <c r="U26" s="34">
        <v>0.1</v>
      </c>
      <c r="V26" s="34">
        <v>0.1</v>
      </c>
      <c r="W26" s="1">
        <v>16000</v>
      </c>
      <c r="X26" s="1">
        <v>16000</v>
      </c>
      <c r="Y26" s="1">
        <v>16000</v>
      </c>
    </row>
    <row r="27" spans="1:25" x14ac:dyDescent="0.35">
      <c r="A27">
        <v>25</v>
      </c>
      <c r="B27" t="s">
        <v>173</v>
      </c>
      <c r="C27" s="18" t="s">
        <v>179</v>
      </c>
      <c r="D27" s="158" t="s">
        <v>180</v>
      </c>
      <c r="E27" s="22" t="s">
        <v>175</v>
      </c>
      <c r="F27" s="159">
        <v>44971</v>
      </c>
      <c r="G27" s="159" t="s">
        <v>176</v>
      </c>
      <c r="H27" t="s">
        <v>87</v>
      </c>
      <c r="I27">
        <v>1</v>
      </c>
      <c r="J27" s="1">
        <f>7668*2</f>
        <v>15336</v>
      </c>
      <c r="K27" s="1" t="s">
        <v>12</v>
      </c>
      <c r="L27" s="34">
        <v>0.08</v>
      </c>
      <c r="M27" s="1">
        <f t="shared" si="5"/>
        <v>17071.890000000003</v>
      </c>
      <c r="N27" s="1">
        <f t="shared" si="0"/>
        <v>13442</v>
      </c>
      <c r="O27" s="34">
        <v>0.15</v>
      </c>
      <c r="P27" s="1">
        <f t="shared" si="1"/>
        <v>15458</v>
      </c>
      <c r="Q27" s="34">
        <v>0.05</v>
      </c>
      <c r="R27" s="1">
        <f t="shared" si="2"/>
        <v>773</v>
      </c>
      <c r="S27" s="1">
        <f t="shared" si="3"/>
        <v>14685</v>
      </c>
      <c r="T27" s="1">
        <f t="shared" si="4"/>
        <v>18650</v>
      </c>
      <c r="U27" s="34">
        <v>0.1</v>
      </c>
      <c r="V27" s="34">
        <v>0.1</v>
      </c>
      <c r="W27" s="1">
        <v>18000</v>
      </c>
      <c r="X27" s="1">
        <v>18000</v>
      </c>
      <c r="Y27" s="1">
        <v>18000</v>
      </c>
    </row>
    <row r="28" spans="1:25" x14ac:dyDescent="0.35">
      <c r="A28">
        <v>26</v>
      </c>
      <c r="B28" t="s">
        <v>173</v>
      </c>
      <c r="C28" s="18" t="s">
        <v>181</v>
      </c>
      <c r="D28" s="158" t="s">
        <v>182</v>
      </c>
      <c r="E28" s="22" t="s">
        <v>175</v>
      </c>
      <c r="F28" s="159">
        <v>44971</v>
      </c>
      <c r="G28" s="159" t="s">
        <v>176</v>
      </c>
      <c r="H28" t="s">
        <v>87</v>
      </c>
      <c r="I28">
        <v>1</v>
      </c>
      <c r="J28" s="1">
        <v>16644</v>
      </c>
      <c r="K28" s="1" t="s">
        <v>12</v>
      </c>
      <c r="L28" s="34">
        <v>0.08</v>
      </c>
      <c r="M28" s="1">
        <f t="shared" si="5"/>
        <v>18527.520000000004</v>
      </c>
      <c r="N28" s="1">
        <f t="shared" si="0"/>
        <v>14589</v>
      </c>
      <c r="O28" s="34">
        <v>0.15</v>
      </c>
      <c r="P28" s="1">
        <f t="shared" si="1"/>
        <v>16777</v>
      </c>
      <c r="Q28" s="34">
        <v>0.05</v>
      </c>
      <c r="R28" s="1">
        <f t="shared" si="2"/>
        <v>839</v>
      </c>
      <c r="S28" s="1">
        <f t="shared" si="3"/>
        <v>15938</v>
      </c>
      <c r="T28" s="1">
        <f t="shared" si="4"/>
        <v>20241</v>
      </c>
      <c r="U28" s="34">
        <v>0.1</v>
      </c>
      <c r="V28" s="34">
        <v>0.1</v>
      </c>
      <c r="W28" s="1">
        <v>20000</v>
      </c>
      <c r="X28" s="1">
        <v>20000</v>
      </c>
      <c r="Y28" s="1">
        <v>20000</v>
      </c>
    </row>
    <row r="29" spans="1:25" x14ac:dyDescent="0.35">
      <c r="A29">
        <v>27</v>
      </c>
      <c r="B29" t="s">
        <v>183</v>
      </c>
      <c r="C29" s="18" t="s">
        <v>184</v>
      </c>
      <c r="D29" t="s">
        <v>185</v>
      </c>
      <c r="E29" s="22" t="s">
        <v>186</v>
      </c>
      <c r="F29" s="159">
        <v>44971</v>
      </c>
      <c r="G29" s="159" t="s">
        <v>176</v>
      </c>
      <c r="H29" t="s">
        <v>87</v>
      </c>
      <c r="I29">
        <v>1</v>
      </c>
      <c r="J29" s="1">
        <v>922</v>
      </c>
      <c r="K29" s="1" t="s">
        <v>12</v>
      </c>
      <c r="L29" s="34">
        <v>0.08</v>
      </c>
      <c r="M29" s="1">
        <f t="shared" si="5"/>
        <v>1026.0800000000002</v>
      </c>
      <c r="N29" s="1">
        <f t="shared" si="0"/>
        <v>808</v>
      </c>
      <c r="O29" s="34">
        <v>0.15</v>
      </c>
      <c r="P29" s="1">
        <f t="shared" si="1"/>
        <v>929</v>
      </c>
      <c r="Q29" s="34">
        <v>0.05</v>
      </c>
      <c r="R29" s="1">
        <f t="shared" si="2"/>
        <v>46</v>
      </c>
      <c r="S29" s="1">
        <f t="shared" si="3"/>
        <v>883</v>
      </c>
      <c r="T29" s="1">
        <f t="shared" si="4"/>
        <v>1121</v>
      </c>
      <c r="U29" s="34">
        <v>0.1</v>
      </c>
      <c r="V29" s="34">
        <v>0.1</v>
      </c>
      <c r="W29" s="1">
        <v>0</v>
      </c>
      <c r="X29" s="1">
        <v>2000</v>
      </c>
      <c r="Y29" s="1">
        <v>0</v>
      </c>
    </row>
    <row r="30" spans="1:25" x14ac:dyDescent="0.35">
      <c r="A30">
        <v>28</v>
      </c>
      <c r="B30" t="s">
        <v>187</v>
      </c>
      <c r="C30" s="160" t="s">
        <v>319</v>
      </c>
      <c r="D30" s="158" t="s">
        <v>390</v>
      </c>
      <c r="E30" s="22" t="s">
        <v>190</v>
      </c>
      <c r="F30" s="159">
        <v>44971</v>
      </c>
      <c r="G30" s="159" t="s">
        <v>176</v>
      </c>
      <c r="H30" t="s">
        <v>87</v>
      </c>
      <c r="I30">
        <v>1</v>
      </c>
      <c r="J30" s="1">
        <v>2285</v>
      </c>
      <c r="K30" s="1" t="s">
        <v>12</v>
      </c>
      <c r="L30" s="34">
        <v>0.08</v>
      </c>
      <c r="M30" s="1">
        <f t="shared" si="5"/>
        <v>2543.4200000000005</v>
      </c>
      <c r="N30" s="1">
        <f t="shared" si="0"/>
        <v>2003</v>
      </c>
      <c r="O30" s="34">
        <v>0.15</v>
      </c>
      <c r="P30" s="1">
        <f t="shared" si="1"/>
        <v>2303</v>
      </c>
      <c r="Q30" s="34">
        <v>0.05</v>
      </c>
      <c r="R30" s="1">
        <f t="shared" si="2"/>
        <v>115</v>
      </c>
      <c r="S30" s="1">
        <f t="shared" si="3"/>
        <v>2188</v>
      </c>
      <c r="T30" s="1">
        <f t="shared" si="4"/>
        <v>2779</v>
      </c>
      <c r="U30" s="34">
        <v>0.1</v>
      </c>
      <c r="V30" s="34">
        <v>0.1</v>
      </c>
      <c r="W30" s="1">
        <v>0</v>
      </c>
      <c r="X30" s="1">
        <v>5000</v>
      </c>
      <c r="Y30" s="1">
        <v>0</v>
      </c>
    </row>
    <row r="31" spans="1:25" x14ac:dyDescent="0.35">
      <c r="A31">
        <v>29</v>
      </c>
      <c r="B31" t="s">
        <v>187</v>
      </c>
      <c r="C31" s="18" t="s">
        <v>188</v>
      </c>
      <c r="D31" s="158" t="s">
        <v>189</v>
      </c>
      <c r="E31" s="22" t="s">
        <v>190</v>
      </c>
      <c r="F31" s="159">
        <v>44971</v>
      </c>
      <c r="G31" s="159" t="s">
        <v>176</v>
      </c>
      <c r="H31" t="s">
        <v>87</v>
      </c>
      <c r="I31">
        <v>1</v>
      </c>
      <c r="J31" s="1">
        <v>7542.53</v>
      </c>
      <c r="K31" s="1" t="s">
        <v>12</v>
      </c>
      <c r="L31" s="34">
        <v>0.08</v>
      </c>
      <c r="M31" s="1">
        <f t="shared" si="5"/>
        <v>8396.19</v>
      </c>
      <c r="N31" s="1">
        <f t="shared" si="0"/>
        <v>6611</v>
      </c>
      <c r="O31" s="34">
        <v>0.15</v>
      </c>
      <c r="P31" s="1">
        <f t="shared" si="1"/>
        <v>7603</v>
      </c>
      <c r="Q31" s="34">
        <v>0.05</v>
      </c>
      <c r="R31" s="1">
        <f t="shared" si="2"/>
        <v>380</v>
      </c>
      <c r="S31" s="1">
        <f t="shared" si="3"/>
        <v>7223</v>
      </c>
      <c r="T31" s="1">
        <f t="shared" si="4"/>
        <v>9173</v>
      </c>
      <c r="U31" s="34">
        <v>0.1</v>
      </c>
      <c r="V31" s="34">
        <v>0.1</v>
      </c>
      <c r="W31" s="1">
        <v>0</v>
      </c>
      <c r="X31" s="1">
        <v>5000</v>
      </c>
      <c r="Y31" s="1">
        <v>0</v>
      </c>
    </row>
    <row r="32" spans="1:25" x14ac:dyDescent="0.35">
      <c r="A32">
        <v>30</v>
      </c>
      <c r="B32" t="s">
        <v>191</v>
      </c>
      <c r="C32" s="18" t="s">
        <v>192</v>
      </c>
      <c r="D32" s="158" t="s">
        <v>193</v>
      </c>
      <c r="E32" s="22" t="s">
        <v>194</v>
      </c>
      <c r="F32" s="159">
        <v>44971</v>
      </c>
      <c r="G32" s="159" t="s">
        <v>176</v>
      </c>
      <c r="H32" t="s">
        <v>87</v>
      </c>
      <c r="I32">
        <v>1</v>
      </c>
      <c r="J32" s="1">
        <v>748.67</v>
      </c>
      <c r="K32" s="1" t="s">
        <v>12</v>
      </c>
      <c r="L32" s="34">
        <v>0.08</v>
      </c>
      <c r="M32" s="1">
        <f t="shared" si="5"/>
        <v>833.69000000000017</v>
      </c>
      <c r="N32" s="1">
        <f t="shared" si="0"/>
        <v>656</v>
      </c>
      <c r="O32" s="34">
        <v>0.15</v>
      </c>
      <c r="P32" s="1">
        <f t="shared" si="1"/>
        <v>754</v>
      </c>
      <c r="Q32" s="34">
        <v>0.05</v>
      </c>
      <c r="R32" s="1">
        <f t="shared" si="2"/>
        <v>38</v>
      </c>
      <c r="S32" s="1">
        <f t="shared" si="3"/>
        <v>716</v>
      </c>
      <c r="T32" s="1">
        <f t="shared" si="4"/>
        <v>909</v>
      </c>
      <c r="U32" s="34">
        <v>0.1</v>
      </c>
      <c r="V32" s="34">
        <v>0.1</v>
      </c>
      <c r="W32" s="1">
        <v>0</v>
      </c>
      <c r="X32" s="1">
        <v>5000</v>
      </c>
      <c r="Y32" s="1">
        <v>0</v>
      </c>
    </row>
    <row r="33" spans="1:25" x14ac:dyDescent="0.35">
      <c r="A33">
        <v>31</v>
      </c>
      <c r="B33" t="s">
        <v>191</v>
      </c>
      <c r="C33" s="160" t="s">
        <v>443</v>
      </c>
      <c r="D33" s="158" t="s">
        <v>444</v>
      </c>
      <c r="H33" t="s">
        <v>87</v>
      </c>
      <c r="I33">
        <v>0</v>
      </c>
      <c r="J33" s="1">
        <v>835</v>
      </c>
      <c r="K33" s="1" t="s">
        <v>12</v>
      </c>
      <c r="L33" s="34">
        <v>0.08</v>
      </c>
      <c r="M33" s="1">
        <f t="shared" si="5"/>
        <v>929.2800000000002</v>
      </c>
      <c r="N33" s="1">
        <f t="shared" si="0"/>
        <v>732</v>
      </c>
      <c r="O33" s="34">
        <v>0.15</v>
      </c>
      <c r="P33" s="1">
        <f t="shared" si="1"/>
        <v>842</v>
      </c>
      <c r="Q33" s="34">
        <v>0.05</v>
      </c>
      <c r="R33" s="1">
        <f t="shared" si="2"/>
        <v>42</v>
      </c>
      <c r="S33" s="1">
        <f t="shared" si="3"/>
        <v>800</v>
      </c>
      <c r="T33" s="1">
        <f t="shared" si="4"/>
        <v>1016</v>
      </c>
      <c r="U33" s="34">
        <v>0.1</v>
      </c>
      <c r="V33" s="34">
        <v>0.1</v>
      </c>
      <c r="W33" s="1">
        <v>0</v>
      </c>
      <c r="X33" s="1">
        <v>5000</v>
      </c>
      <c r="Y33" s="1">
        <v>0</v>
      </c>
    </row>
    <row r="34" spans="1:25" x14ac:dyDescent="0.35">
      <c r="A34">
        <v>32</v>
      </c>
      <c r="B34" t="s">
        <v>191</v>
      </c>
      <c r="C34" s="160" t="s">
        <v>445</v>
      </c>
      <c r="D34" s="158" t="s">
        <v>446</v>
      </c>
      <c r="H34" t="s">
        <v>87</v>
      </c>
      <c r="I34">
        <v>0</v>
      </c>
      <c r="J34" s="1">
        <v>2400</v>
      </c>
      <c r="K34" s="1" t="s">
        <v>12</v>
      </c>
      <c r="L34" s="34">
        <v>0.08</v>
      </c>
      <c r="M34" s="1">
        <f t="shared" si="5"/>
        <v>2671.6800000000003</v>
      </c>
      <c r="N34" s="1">
        <f t="shared" si="0"/>
        <v>2104</v>
      </c>
      <c r="O34" s="34">
        <v>0.15</v>
      </c>
      <c r="P34" s="1">
        <f t="shared" si="1"/>
        <v>2420</v>
      </c>
      <c r="Q34" s="34">
        <v>0.05</v>
      </c>
      <c r="R34" s="1">
        <f t="shared" si="2"/>
        <v>121</v>
      </c>
      <c r="S34" s="1">
        <f t="shared" si="3"/>
        <v>2299</v>
      </c>
      <c r="T34" s="1">
        <f t="shared" si="4"/>
        <v>2920</v>
      </c>
      <c r="U34" s="34">
        <v>0.1</v>
      </c>
      <c r="V34" s="34">
        <v>0.1</v>
      </c>
      <c r="W34" s="1">
        <v>0</v>
      </c>
      <c r="X34" s="1">
        <v>5000</v>
      </c>
      <c r="Y34" s="1">
        <v>0</v>
      </c>
    </row>
    <row r="35" spans="1:25" x14ac:dyDescent="0.35">
      <c r="A35">
        <v>33</v>
      </c>
      <c r="B35" t="s">
        <v>447</v>
      </c>
      <c r="C35" s="160" t="s">
        <v>448</v>
      </c>
      <c r="D35" s="158" t="s">
        <v>125</v>
      </c>
      <c r="E35" s="22" t="s">
        <v>449</v>
      </c>
      <c r="H35" t="s">
        <v>87</v>
      </c>
      <c r="I35">
        <v>0</v>
      </c>
      <c r="J35" s="1">
        <v>65</v>
      </c>
      <c r="K35" s="1" t="s">
        <v>17</v>
      </c>
      <c r="L35" s="34">
        <v>0.08</v>
      </c>
      <c r="M35" s="1">
        <f t="shared" si="5"/>
        <v>72.600000000000009</v>
      </c>
      <c r="N35" s="1">
        <f t="shared" si="0"/>
        <v>57</v>
      </c>
      <c r="O35" s="34">
        <v>0.15</v>
      </c>
      <c r="P35" s="1">
        <f t="shared" si="1"/>
        <v>66</v>
      </c>
      <c r="Q35" s="34">
        <v>0.05</v>
      </c>
      <c r="R35" s="1">
        <f t="shared" si="2"/>
        <v>3</v>
      </c>
      <c r="S35" s="1">
        <f t="shared" si="3"/>
        <v>63</v>
      </c>
      <c r="T35" s="1">
        <f t="shared" si="4"/>
        <v>80</v>
      </c>
      <c r="U35" s="34">
        <v>0.1</v>
      </c>
      <c r="V35" s="34">
        <v>0.1</v>
      </c>
      <c r="W35" s="1">
        <v>100</v>
      </c>
      <c r="X35" s="1">
        <v>200</v>
      </c>
      <c r="Y35" s="1">
        <v>1000</v>
      </c>
    </row>
    <row r="36" spans="1:25" x14ac:dyDescent="0.35">
      <c r="A36">
        <v>34</v>
      </c>
      <c r="B36" t="s">
        <v>447</v>
      </c>
      <c r="C36" s="160" t="s">
        <v>450</v>
      </c>
      <c r="D36" s="158" t="s">
        <v>451</v>
      </c>
      <c r="E36" s="22" t="s">
        <v>449</v>
      </c>
      <c r="H36" t="s">
        <v>87</v>
      </c>
      <c r="I36">
        <v>0</v>
      </c>
      <c r="J36" s="1">
        <v>76</v>
      </c>
      <c r="K36" s="1" t="s">
        <v>17</v>
      </c>
      <c r="L36" s="34">
        <v>0.08</v>
      </c>
      <c r="M36" s="1">
        <f t="shared" si="5"/>
        <v>84.7</v>
      </c>
      <c r="N36" s="1">
        <f t="shared" si="0"/>
        <v>67</v>
      </c>
      <c r="O36" s="34">
        <v>0.15</v>
      </c>
      <c r="P36" s="1">
        <f t="shared" si="1"/>
        <v>77</v>
      </c>
      <c r="Q36" s="34">
        <v>0.05</v>
      </c>
      <c r="R36" s="1">
        <f t="shared" si="2"/>
        <v>4</v>
      </c>
      <c r="S36" s="1">
        <f t="shared" si="3"/>
        <v>73</v>
      </c>
      <c r="T36" s="1">
        <f t="shared" si="4"/>
        <v>93</v>
      </c>
      <c r="U36" s="34">
        <v>0.1</v>
      </c>
      <c r="V36" s="34">
        <v>0.1</v>
      </c>
      <c r="W36" s="1">
        <v>100</v>
      </c>
      <c r="X36" s="1">
        <v>200</v>
      </c>
      <c r="Y36" s="1">
        <v>1250</v>
      </c>
    </row>
    <row r="37" spans="1:25" x14ac:dyDescent="0.35">
      <c r="A37">
        <v>35</v>
      </c>
      <c r="B37" t="s">
        <v>447</v>
      </c>
      <c r="C37" s="18" t="s">
        <v>452</v>
      </c>
      <c r="D37" s="158" t="s">
        <v>453</v>
      </c>
      <c r="E37" s="22" t="s">
        <v>449</v>
      </c>
      <c r="F37" s="159">
        <v>44971</v>
      </c>
      <c r="G37" s="159"/>
      <c r="H37" t="s">
        <v>87</v>
      </c>
      <c r="I37">
        <v>0</v>
      </c>
      <c r="J37" s="1">
        <v>149.86000000000001</v>
      </c>
      <c r="K37" s="1" t="s">
        <v>17</v>
      </c>
      <c r="L37" s="34">
        <v>0.08</v>
      </c>
      <c r="M37" s="1">
        <f t="shared" si="5"/>
        <v>166.98000000000002</v>
      </c>
      <c r="N37" s="1">
        <f t="shared" si="0"/>
        <v>131</v>
      </c>
      <c r="O37" s="34">
        <v>0.15</v>
      </c>
      <c r="P37" s="1">
        <f t="shared" si="1"/>
        <v>151</v>
      </c>
      <c r="Q37" s="34">
        <v>0.05</v>
      </c>
      <c r="R37" s="1">
        <f t="shared" si="2"/>
        <v>8</v>
      </c>
      <c r="S37" s="1">
        <f t="shared" si="3"/>
        <v>143</v>
      </c>
      <c r="T37" s="1">
        <f t="shared" si="4"/>
        <v>182</v>
      </c>
      <c r="U37" s="34">
        <v>0.1</v>
      </c>
      <c r="V37" s="34">
        <v>0.1</v>
      </c>
      <c r="W37" s="1">
        <v>100</v>
      </c>
      <c r="X37" s="1">
        <v>200</v>
      </c>
      <c r="Y37" s="1">
        <v>1500</v>
      </c>
    </row>
    <row r="38" spans="1:25" x14ac:dyDescent="0.35">
      <c r="A38">
        <v>36</v>
      </c>
      <c r="B38" t="s">
        <v>447</v>
      </c>
      <c r="C38" s="160" t="s">
        <v>454</v>
      </c>
      <c r="D38" s="158" t="s">
        <v>455</v>
      </c>
      <c r="E38" s="22" t="s">
        <v>449</v>
      </c>
      <c r="H38" t="s">
        <v>87</v>
      </c>
      <c r="I38">
        <v>0</v>
      </c>
      <c r="J38" s="1">
        <v>197</v>
      </c>
      <c r="K38" s="1" t="s">
        <v>17</v>
      </c>
      <c r="L38" s="34">
        <v>0.08</v>
      </c>
      <c r="M38" s="1">
        <f t="shared" si="5"/>
        <v>219.01000000000005</v>
      </c>
      <c r="N38" s="1">
        <f t="shared" si="0"/>
        <v>172</v>
      </c>
      <c r="O38" s="34">
        <v>0.15</v>
      </c>
      <c r="P38" s="1">
        <f t="shared" si="1"/>
        <v>198</v>
      </c>
      <c r="Q38" s="34">
        <v>0.05</v>
      </c>
      <c r="R38" s="1">
        <f t="shared" si="2"/>
        <v>10</v>
      </c>
      <c r="S38" s="1">
        <f t="shared" si="3"/>
        <v>188</v>
      </c>
      <c r="T38" s="1">
        <f t="shared" si="4"/>
        <v>239</v>
      </c>
      <c r="U38" s="34">
        <v>0.1</v>
      </c>
      <c r="V38" s="34">
        <v>0.1</v>
      </c>
      <c r="W38" s="1">
        <v>100</v>
      </c>
      <c r="X38" s="1">
        <v>200</v>
      </c>
      <c r="Y38" s="1">
        <v>1750</v>
      </c>
    </row>
    <row r="39" spans="1:25" x14ac:dyDescent="0.35">
      <c r="A39">
        <v>37</v>
      </c>
      <c r="B39" t="s">
        <v>447</v>
      </c>
      <c r="C39" s="160" t="s">
        <v>456</v>
      </c>
      <c r="D39" s="158" t="s">
        <v>457</v>
      </c>
      <c r="E39" s="22" t="s">
        <v>449</v>
      </c>
      <c r="H39" t="s">
        <v>87</v>
      </c>
      <c r="I39">
        <v>0</v>
      </c>
      <c r="J39" s="1">
        <v>206</v>
      </c>
      <c r="K39" s="1" t="s">
        <v>17</v>
      </c>
      <c r="L39" s="34">
        <v>0.08</v>
      </c>
      <c r="M39" s="1">
        <f t="shared" si="5"/>
        <v>229.90000000000006</v>
      </c>
      <c r="N39" s="1">
        <f t="shared" si="0"/>
        <v>181</v>
      </c>
      <c r="O39" s="34">
        <v>0.15</v>
      </c>
      <c r="P39" s="1">
        <f t="shared" si="1"/>
        <v>208</v>
      </c>
      <c r="Q39" s="34">
        <v>0.05</v>
      </c>
      <c r="R39" s="1">
        <f t="shared" si="2"/>
        <v>10</v>
      </c>
      <c r="S39" s="1">
        <f t="shared" si="3"/>
        <v>198</v>
      </c>
      <c r="T39" s="1">
        <f t="shared" si="4"/>
        <v>251</v>
      </c>
      <c r="U39" s="34">
        <v>0.1</v>
      </c>
      <c r="V39" s="34">
        <v>0.1</v>
      </c>
      <c r="W39" s="1">
        <v>100</v>
      </c>
      <c r="X39" s="1">
        <v>200</v>
      </c>
      <c r="Y39" s="1">
        <v>2000</v>
      </c>
    </row>
    <row r="40" spans="1:25" x14ac:dyDescent="0.35">
      <c r="A40">
        <v>38</v>
      </c>
      <c r="B40" t="s">
        <v>447</v>
      </c>
      <c r="C40" s="160" t="s">
        <v>458</v>
      </c>
      <c r="H40" t="s">
        <v>87</v>
      </c>
      <c r="I40">
        <v>0</v>
      </c>
      <c r="J40" s="27">
        <v>650</v>
      </c>
      <c r="K40" s="1" t="s">
        <v>17</v>
      </c>
      <c r="L40" s="34">
        <v>0.08</v>
      </c>
      <c r="M40" s="1">
        <f t="shared" si="5"/>
        <v>723.58000000000015</v>
      </c>
      <c r="N40" s="1">
        <f t="shared" si="0"/>
        <v>570</v>
      </c>
      <c r="O40" s="34">
        <v>0.15</v>
      </c>
      <c r="P40" s="1">
        <f t="shared" si="1"/>
        <v>656</v>
      </c>
      <c r="Q40" s="34">
        <v>0.05</v>
      </c>
      <c r="R40" s="1">
        <f t="shared" si="2"/>
        <v>33</v>
      </c>
      <c r="S40" s="1">
        <f t="shared" si="3"/>
        <v>623</v>
      </c>
      <c r="T40" s="1">
        <f t="shared" si="4"/>
        <v>791</v>
      </c>
      <c r="U40" s="34">
        <v>0.1</v>
      </c>
      <c r="V40" s="34">
        <v>0.1</v>
      </c>
      <c r="W40" s="1">
        <v>0</v>
      </c>
      <c r="X40" s="1">
        <v>5000</v>
      </c>
      <c r="Y40" s="1">
        <v>0</v>
      </c>
    </row>
    <row r="41" spans="1:25" x14ac:dyDescent="0.35">
      <c r="A41">
        <v>39</v>
      </c>
      <c r="B41" t="s">
        <v>195</v>
      </c>
      <c r="C41" s="160" t="s">
        <v>459</v>
      </c>
      <c r="D41" s="158" t="s">
        <v>460</v>
      </c>
      <c r="H41" t="s">
        <v>87</v>
      </c>
      <c r="I41">
        <v>0</v>
      </c>
      <c r="J41" s="1">
        <v>342</v>
      </c>
      <c r="K41" s="1" t="s">
        <v>17</v>
      </c>
      <c r="L41" s="34">
        <v>0.08</v>
      </c>
      <c r="M41" s="1">
        <f t="shared" si="5"/>
        <v>381.15000000000003</v>
      </c>
      <c r="N41" s="1">
        <f t="shared" si="0"/>
        <v>300</v>
      </c>
      <c r="O41" s="34">
        <v>0.15</v>
      </c>
      <c r="P41" s="1">
        <f t="shared" si="1"/>
        <v>345</v>
      </c>
      <c r="Q41" s="34">
        <v>0.05</v>
      </c>
      <c r="R41" s="1">
        <f t="shared" si="2"/>
        <v>17</v>
      </c>
      <c r="S41" s="1">
        <f t="shared" si="3"/>
        <v>328</v>
      </c>
      <c r="T41" s="1">
        <f t="shared" si="4"/>
        <v>417</v>
      </c>
      <c r="U41" s="34">
        <v>0.1</v>
      </c>
      <c r="V41" s="34">
        <v>0.1</v>
      </c>
      <c r="W41" s="1">
        <v>0</v>
      </c>
      <c r="X41" s="1">
        <v>2000</v>
      </c>
      <c r="Y41" s="1">
        <v>0</v>
      </c>
    </row>
    <row r="42" spans="1:25" x14ac:dyDescent="0.35">
      <c r="A42">
        <v>40</v>
      </c>
      <c r="B42" t="s">
        <v>195</v>
      </c>
      <c r="C42" s="160" t="s">
        <v>461</v>
      </c>
      <c r="D42" s="158" t="s">
        <v>462</v>
      </c>
      <c r="H42" t="s">
        <v>87</v>
      </c>
      <c r="I42">
        <v>0</v>
      </c>
      <c r="J42" s="1">
        <v>231</v>
      </c>
      <c r="K42" s="1" t="s">
        <v>17</v>
      </c>
      <c r="L42" s="34">
        <v>0.08</v>
      </c>
      <c r="M42" s="1">
        <f t="shared" si="5"/>
        <v>257.73</v>
      </c>
      <c r="N42" s="1">
        <f t="shared" si="0"/>
        <v>203</v>
      </c>
      <c r="O42" s="34">
        <v>0.15</v>
      </c>
      <c r="P42" s="1">
        <f t="shared" si="1"/>
        <v>233</v>
      </c>
      <c r="Q42" s="34">
        <v>0.05</v>
      </c>
      <c r="R42" s="1">
        <f t="shared" si="2"/>
        <v>12</v>
      </c>
      <c r="S42" s="1">
        <f t="shared" si="3"/>
        <v>221</v>
      </c>
      <c r="T42" s="1">
        <f t="shared" si="4"/>
        <v>281</v>
      </c>
      <c r="U42" s="34">
        <v>0.1</v>
      </c>
      <c r="V42" s="34">
        <v>0.1</v>
      </c>
      <c r="W42" s="1">
        <v>0</v>
      </c>
      <c r="X42" s="1">
        <v>2000</v>
      </c>
      <c r="Y42" s="1">
        <v>0</v>
      </c>
    </row>
    <row r="43" spans="1:25" x14ac:dyDescent="0.35">
      <c r="A43">
        <v>41</v>
      </c>
      <c r="B43" t="s">
        <v>195</v>
      </c>
      <c r="C43" s="160" t="s">
        <v>463</v>
      </c>
      <c r="D43" s="158" t="s">
        <v>464</v>
      </c>
      <c r="E43" s="22"/>
      <c r="F43" s="159"/>
      <c r="G43" s="159"/>
      <c r="H43" t="s">
        <v>87</v>
      </c>
      <c r="I43">
        <v>0</v>
      </c>
      <c r="J43" s="1">
        <v>405</v>
      </c>
      <c r="K43" s="1" t="s">
        <v>17</v>
      </c>
      <c r="L43" s="34">
        <v>0.08</v>
      </c>
      <c r="M43" s="1">
        <f t="shared" si="5"/>
        <v>451.33000000000004</v>
      </c>
      <c r="N43" s="1">
        <f t="shared" si="0"/>
        <v>355</v>
      </c>
      <c r="O43" s="34">
        <v>0.15</v>
      </c>
      <c r="P43" s="1">
        <f t="shared" si="1"/>
        <v>408</v>
      </c>
      <c r="Q43" s="34">
        <v>0.05</v>
      </c>
      <c r="R43" s="1">
        <f t="shared" si="2"/>
        <v>20</v>
      </c>
      <c r="S43" s="1">
        <f t="shared" si="3"/>
        <v>388</v>
      </c>
      <c r="T43" s="1">
        <f t="shared" si="4"/>
        <v>493</v>
      </c>
      <c r="U43" s="34">
        <v>0.1</v>
      </c>
      <c r="V43" s="34">
        <v>0.1</v>
      </c>
      <c r="W43" s="1">
        <v>0</v>
      </c>
      <c r="X43" s="1">
        <v>2000</v>
      </c>
      <c r="Y43" s="1">
        <v>0</v>
      </c>
    </row>
    <row r="44" spans="1:25" x14ac:dyDescent="0.35">
      <c r="A44">
        <v>42</v>
      </c>
      <c r="B44" t="s">
        <v>195</v>
      </c>
      <c r="C44" s="160" t="s">
        <v>327</v>
      </c>
      <c r="D44" s="158" t="s">
        <v>465</v>
      </c>
      <c r="E44" s="22" t="s">
        <v>198</v>
      </c>
      <c r="F44" s="159">
        <v>44971</v>
      </c>
      <c r="G44" s="159" t="s">
        <v>176</v>
      </c>
      <c r="H44" t="s">
        <v>87</v>
      </c>
      <c r="I44">
        <v>1</v>
      </c>
      <c r="J44" s="1">
        <v>593</v>
      </c>
      <c r="K44" s="1" t="s">
        <v>17</v>
      </c>
      <c r="L44" s="34">
        <v>0.08</v>
      </c>
      <c r="M44" s="1">
        <f t="shared" si="5"/>
        <v>660.66000000000008</v>
      </c>
      <c r="N44" s="1">
        <f t="shared" si="0"/>
        <v>520</v>
      </c>
      <c r="O44" s="34">
        <v>0.15</v>
      </c>
      <c r="P44" s="1">
        <f t="shared" si="1"/>
        <v>598</v>
      </c>
      <c r="Q44" s="34">
        <v>0.05</v>
      </c>
      <c r="R44" s="1">
        <f t="shared" si="2"/>
        <v>30</v>
      </c>
      <c r="S44" s="1">
        <f t="shared" si="3"/>
        <v>568</v>
      </c>
      <c r="T44" s="1">
        <f t="shared" si="4"/>
        <v>721</v>
      </c>
      <c r="U44" s="34">
        <v>0.1</v>
      </c>
      <c r="V44" s="34">
        <v>0.1</v>
      </c>
      <c r="W44" s="1">
        <v>0</v>
      </c>
      <c r="X44" s="1">
        <v>2000</v>
      </c>
      <c r="Y44" s="1">
        <v>0</v>
      </c>
    </row>
    <row r="45" spans="1:25" x14ac:dyDescent="0.35">
      <c r="A45">
        <v>43</v>
      </c>
      <c r="B45" t="s">
        <v>195</v>
      </c>
      <c r="C45" s="160" t="s">
        <v>466</v>
      </c>
      <c r="D45" s="158" t="s">
        <v>467</v>
      </c>
      <c r="H45" t="s">
        <v>87</v>
      </c>
      <c r="I45">
        <v>0</v>
      </c>
      <c r="J45" s="1">
        <v>648</v>
      </c>
      <c r="K45" s="1" t="s">
        <v>17</v>
      </c>
      <c r="L45" s="34">
        <v>0.08</v>
      </c>
      <c r="M45" s="1">
        <f t="shared" si="5"/>
        <v>721.16000000000008</v>
      </c>
      <c r="N45" s="1">
        <f t="shared" si="0"/>
        <v>568</v>
      </c>
      <c r="O45" s="34">
        <v>0.15</v>
      </c>
      <c r="P45" s="1">
        <f t="shared" si="1"/>
        <v>653</v>
      </c>
      <c r="Q45" s="34">
        <v>0.05</v>
      </c>
      <c r="R45" s="1">
        <f t="shared" si="2"/>
        <v>33</v>
      </c>
      <c r="S45" s="1">
        <f t="shared" si="3"/>
        <v>620</v>
      </c>
      <c r="T45" s="1">
        <f t="shared" si="4"/>
        <v>787</v>
      </c>
      <c r="U45" s="34">
        <v>0.1</v>
      </c>
      <c r="V45" s="34">
        <v>0.1</v>
      </c>
      <c r="W45" s="1">
        <v>0</v>
      </c>
      <c r="X45" s="1">
        <v>2000</v>
      </c>
      <c r="Y45" s="1">
        <v>0</v>
      </c>
    </row>
    <row r="46" spans="1:25" x14ac:dyDescent="0.35">
      <c r="A46">
        <v>44</v>
      </c>
      <c r="B46" t="s">
        <v>195</v>
      </c>
      <c r="C46" s="160" t="s">
        <v>468</v>
      </c>
      <c r="D46" s="158" t="s">
        <v>469</v>
      </c>
      <c r="H46" t="s">
        <v>87</v>
      </c>
      <c r="I46">
        <v>0</v>
      </c>
      <c r="J46" s="1">
        <v>301</v>
      </c>
      <c r="K46" s="1" t="s">
        <v>17</v>
      </c>
      <c r="L46" s="34">
        <v>0.08</v>
      </c>
      <c r="M46" s="1">
        <f t="shared" si="5"/>
        <v>335.17000000000007</v>
      </c>
      <c r="N46" s="1">
        <f t="shared" si="0"/>
        <v>264</v>
      </c>
      <c r="O46" s="34">
        <v>0.15</v>
      </c>
      <c r="P46" s="1">
        <f t="shared" si="1"/>
        <v>304</v>
      </c>
      <c r="Q46" s="34">
        <v>0.05</v>
      </c>
      <c r="R46" s="1">
        <f t="shared" si="2"/>
        <v>15</v>
      </c>
      <c r="S46" s="1">
        <f t="shared" si="3"/>
        <v>289</v>
      </c>
      <c r="T46" s="1">
        <f t="shared" si="4"/>
        <v>367</v>
      </c>
      <c r="U46" s="34">
        <v>0.1</v>
      </c>
      <c r="V46" s="34">
        <v>0.1</v>
      </c>
      <c r="W46" s="1">
        <v>0</v>
      </c>
      <c r="X46" s="1">
        <v>2000</v>
      </c>
      <c r="Y46" s="1">
        <v>0</v>
      </c>
    </row>
    <row r="47" spans="1:25" x14ac:dyDescent="0.35">
      <c r="A47">
        <v>45</v>
      </c>
      <c r="B47" t="s">
        <v>195</v>
      </c>
      <c r="C47" s="160" t="s">
        <v>196</v>
      </c>
      <c r="D47" s="158" t="s">
        <v>197</v>
      </c>
      <c r="E47" s="22" t="s">
        <v>198</v>
      </c>
      <c r="F47" s="159">
        <v>44971</v>
      </c>
      <c r="G47" s="159" t="s">
        <v>176</v>
      </c>
      <c r="H47" t="s">
        <v>87</v>
      </c>
      <c r="I47">
        <v>1</v>
      </c>
      <c r="J47" s="1">
        <v>1285</v>
      </c>
      <c r="K47" s="1" t="s">
        <v>17</v>
      </c>
      <c r="L47" s="34">
        <v>0.08</v>
      </c>
      <c r="M47" s="1">
        <f t="shared" si="5"/>
        <v>1430.2200000000003</v>
      </c>
      <c r="N47" s="1">
        <f t="shared" si="0"/>
        <v>1126</v>
      </c>
      <c r="O47" s="34">
        <v>0.15</v>
      </c>
      <c r="P47" s="1">
        <f t="shared" si="1"/>
        <v>1295</v>
      </c>
      <c r="Q47" s="34">
        <v>0.05</v>
      </c>
      <c r="R47" s="1">
        <f t="shared" si="2"/>
        <v>65</v>
      </c>
      <c r="S47" s="1">
        <f t="shared" si="3"/>
        <v>1230</v>
      </c>
      <c r="T47" s="1">
        <f t="shared" si="4"/>
        <v>1562</v>
      </c>
      <c r="U47" s="34">
        <v>0.1</v>
      </c>
      <c r="V47" s="34">
        <v>0.1</v>
      </c>
      <c r="W47" s="1">
        <v>0</v>
      </c>
      <c r="X47" s="1">
        <v>2000</v>
      </c>
      <c r="Y47" s="1">
        <v>0</v>
      </c>
    </row>
    <row r="48" spans="1:25" x14ac:dyDescent="0.35">
      <c r="A48">
        <v>46</v>
      </c>
      <c r="B48" t="s">
        <v>195</v>
      </c>
      <c r="C48" s="160" t="s">
        <v>470</v>
      </c>
      <c r="D48" s="158" t="s">
        <v>471</v>
      </c>
      <c r="H48" t="s">
        <v>87</v>
      </c>
      <c r="I48">
        <v>0</v>
      </c>
      <c r="J48" s="1">
        <v>1956</v>
      </c>
      <c r="K48" s="1" t="s">
        <v>17</v>
      </c>
      <c r="L48" s="34">
        <v>0.08</v>
      </c>
      <c r="M48" s="1">
        <f t="shared" si="5"/>
        <v>2178.0000000000005</v>
      </c>
      <c r="N48" s="1">
        <f t="shared" si="0"/>
        <v>1715</v>
      </c>
      <c r="O48" s="34">
        <v>0.15</v>
      </c>
      <c r="P48" s="1">
        <f t="shared" si="1"/>
        <v>1972</v>
      </c>
      <c r="Q48" s="34">
        <v>0.05</v>
      </c>
      <c r="R48" s="1">
        <f t="shared" si="2"/>
        <v>99</v>
      </c>
      <c r="S48" s="1">
        <f t="shared" si="3"/>
        <v>1873</v>
      </c>
      <c r="T48" s="1">
        <f t="shared" si="4"/>
        <v>2379</v>
      </c>
      <c r="U48" s="34">
        <v>0.1</v>
      </c>
      <c r="V48" s="34">
        <v>0.1</v>
      </c>
      <c r="W48" s="1">
        <v>0</v>
      </c>
      <c r="X48" s="1">
        <v>2000</v>
      </c>
      <c r="Y48" s="1">
        <v>0</v>
      </c>
    </row>
    <row r="49" spans="1:25" x14ac:dyDescent="0.35">
      <c r="A49">
        <v>47</v>
      </c>
      <c r="B49" t="s">
        <v>195</v>
      </c>
      <c r="C49" s="160" t="s">
        <v>472</v>
      </c>
      <c r="D49" s="158" t="s">
        <v>473</v>
      </c>
      <c r="H49" t="s">
        <v>87</v>
      </c>
      <c r="I49">
        <v>0</v>
      </c>
      <c r="J49" s="1">
        <v>677</v>
      </c>
      <c r="K49" s="1" t="s">
        <v>17</v>
      </c>
      <c r="L49" s="34">
        <v>0.08</v>
      </c>
      <c r="M49" s="1">
        <f t="shared" si="5"/>
        <v>753.83000000000015</v>
      </c>
      <c r="N49" s="1">
        <f t="shared" si="0"/>
        <v>594</v>
      </c>
      <c r="O49" s="34">
        <v>0.15</v>
      </c>
      <c r="P49" s="1">
        <f t="shared" si="1"/>
        <v>683</v>
      </c>
      <c r="Q49" s="34">
        <v>0.05</v>
      </c>
      <c r="R49" s="1">
        <f t="shared" si="2"/>
        <v>34</v>
      </c>
      <c r="S49" s="1">
        <f t="shared" si="3"/>
        <v>649</v>
      </c>
      <c r="T49" s="1">
        <f t="shared" si="4"/>
        <v>824</v>
      </c>
      <c r="U49" s="34">
        <v>0.1</v>
      </c>
      <c r="V49" s="34">
        <v>0.1</v>
      </c>
      <c r="W49" s="1">
        <v>0</v>
      </c>
      <c r="X49" s="1">
        <v>2000</v>
      </c>
      <c r="Y49" s="1">
        <v>0</v>
      </c>
    </row>
    <row r="50" spans="1:25" x14ac:dyDescent="0.35">
      <c r="A50">
        <v>48</v>
      </c>
      <c r="B50" t="s">
        <v>195</v>
      </c>
      <c r="C50" s="160" t="s">
        <v>474</v>
      </c>
      <c r="D50" s="158" t="s">
        <v>475</v>
      </c>
      <c r="H50" t="s">
        <v>87</v>
      </c>
      <c r="I50">
        <v>0</v>
      </c>
      <c r="J50" s="1">
        <v>592</v>
      </c>
      <c r="K50" s="1" t="s">
        <v>17</v>
      </c>
      <c r="L50" s="34">
        <v>0.08</v>
      </c>
      <c r="M50" s="1">
        <f t="shared" si="5"/>
        <v>659.45</v>
      </c>
      <c r="N50" s="1">
        <f t="shared" si="0"/>
        <v>519</v>
      </c>
      <c r="O50" s="34">
        <v>0.15</v>
      </c>
      <c r="P50" s="1">
        <f t="shared" si="1"/>
        <v>597</v>
      </c>
      <c r="Q50" s="34">
        <v>0.05</v>
      </c>
      <c r="R50" s="1">
        <f t="shared" si="2"/>
        <v>30</v>
      </c>
      <c r="S50" s="1">
        <f t="shared" si="3"/>
        <v>567</v>
      </c>
      <c r="T50" s="1">
        <f t="shared" si="4"/>
        <v>720</v>
      </c>
      <c r="U50" s="34">
        <v>0.1</v>
      </c>
      <c r="V50" s="34">
        <v>0.1</v>
      </c>
      <c r="W50" s="1">
        <v>0</v>
      </c>
      <c r="X50" s="1">
        <v>2000</v>
      </c>
      <c r="Y50" s="1">
        <v>0</v>
      </c>
    </row>
    <row r="51" spans="1:25" x14ac:dyDescent="0.35">
      <c r="A51">
        <v>49</v>
      </c>
      <c r="B51" t="s">
        <v>195</v>
      </c>
      <c r="C51" s="160" t="s">
        <v>199</v>
      </c>
      <c r="D51" s="158" t="s">
        <v>200</v>
      </c>
      <c r="E51" s="22" t="s">
        <v>198</v>
      </c>
      <c r="F51" s="159">
        <v>44971</v>
      </c>
      <c r="G51" s="159" t="s">
        <v>176</v>
      </c>
      <c r="H51" t="s">
        <v>87</v>
      </c>
      <c r="I51">
        <v>1</v>
      </c>
      <c r="J51" s="1">
        <v>775</v>
      </c>
      <c r="K51" s="1" t="s">
        <v>17</v>
      </c>
      <c r="L51" s="34">
        <v>0.08</v>
      </c>
      <c r="M51" s="1">
        <f t="shared" si="5"/>
        <v>862.73000000000013</v>
      </c>
      <c r="N51" s="1">
        <f t="shared" si="0"/>
        <v>679</v>
      </c>
      <c r="O51" s="34">
        <v>0.15</v>
      </c>
      <c r="P51" s="1">
        <f t="shared" si="1"/>
        <v>781</v>
      </c>
      <c r="Q51" s="34">
        <v>0.05</v>
      </c>
      <c r="R51" s="1">
        <f t="shared" si="2"/>
        <v>39</v>
      </c>
      <c r="S51" s="1">
        <f t="shared" si="3"/>
        <v>742</v>
      </c>
      <c r="T51" s="1">
        <f t="shared" si="4"/>
        <v>942</v>
      </c>
      <c r="U51" s="34">
        <v>0.1</v>
      </c>
      <c r="V51" s="34">
        <v>0.1</v>
      </c>
      <c r="W51" s="1">
        <v>0</v>
      </c>
      <c r="X51" s="1">
        <v>2000</v>
      </c>
      <c r="Y51" s="1">
        <v>0</v>
      </c>
    </row>
    <row r="52" spans="1:25" x14ac:dyDescent="0.35">
      <c r="A52">
        <v>50</v>
      </c>
      <c r="B52" t="s">
        <v>195</v>
      </c>
      <c r="C52" s="160" t="s">
        <v>476</v>
      </c>
      <c r="D52" s="158" t="s">
        <v>477</v>
      </c>
      <c r="H52" t="s">
        <v>87</v>
      </c>
      <c r="I52">
        <v>0</v>
      </c>
      <c r="J52" s="1">
        <v>413</v>
      </c>
      <c r="K52" s="1" t="s">
        <v>17</v>
      </c>
      <c r="L52" s="34">
        <v>0.08</v>
      </c>
      <c r="M52" s="1">
        <f t="shared" si="5"/>
        <v>459.80000000000013</v>
      </c>
      <c r="N52" s="1">
        <f t="shared" si="0"/>
        <v>362</v>
      </c>
      <c r="O52" s="34">
        <v>0.15</v>
      </c>
      <c r="P52" s="1">
        <f t="shared" si="1"/>
        <v>416</v>
      </c>
      <c r="Q52" s="34">
        <v>0.05</v>
      </c>
      <c r="R52" s="1">
        <f t="shared" si="2"/>
        <v>21</v>
      </c>
      <c r="S52" s="1">
        <f t="shared" si="3"/>
        <v>395</v>
      </c>
      <c r="T52" s="1">
        <f t="shared" si="4"/>
        <v>502</v>
      </c>
      <c r="U52" s="34">
        <v>0.1</v>
      </c>
      <c r="V52" s="34">
        <v>0.1</v>
      </c>
      <c r="W52" s="1">
        <v>0</v>
      </c>
      <c r="X52" s="1">
        <v>2000</v>
      </c>
      <c r="Y52" s="1">
        <v>0</v>
      </c>
    </row>
    <row r="53" spans="1:25" x14ac:dyDescent="0.35">
      <c r="A53">
        <v>51</v>
      </c>
      <c r="B53" t="s">
        <v>195</v>
      </c>
      <c r="C53" s="160" t="s">
        <v>478</v>
      </c>
      <c r="D53" s="158" t="s">
        <v>479</v>
      </c>
      <c r="H53" t="s">
        <v>87</v>
      </c>
      <c r="I53">
        <v>0</v>
      </c>
      <c r="J53" s="1">
        <v>3414</v>
      </c>
      <c r="K53" s="1" t="s">
        <v>17</v>
      </c>
      <c r="L53" s="34">
        <v>0.08</v>
      </c>
      <c r="M53" s="1">
        <f t="shared" si="5"/>
        <v>3800.6100000000006</v>
      </c>
      <c r="N53" s="1">
        <f t="shared" si="0"/>
        <v>2993</v>
      </c>
      <c r="O53" s="34">
        <v>0.15</v>
      </c>
      <c r="P53" s="1">
        <f t="shared" si="1"/>
        <v>3442</v>
      </c>
      <c r="Q53" s="34">
        <v>0.05</v>
      </c>
      <c r="R53" s="1">
        <f t="shared" si="2"/>
        <v>172</v>
      </c>
      <c r="S53" s="1">
        <f t="shared" si="3"/>
        <v>3270</v>
      </c>
      <c r="T53" s="1">
        <f t="shared" si="4"/>
        <v>4153</v>
      </c>
      <c r="U53" s="34">
        <v>0.1</v>
      </c>
      <c r="V53" s="34">
        <v>0.1</v>
      </c>
      <c r="W53" s="1">
        <v>0</v>
      </c>
      <c r="X53" s="1">
        <v>2000</v>
      </c>
      <c r="Y53" s="1">
        <v>0</v>
      </c>
    </row>
    <row r="54" spans="1:25" x14ac:dyDescent="0.35">
      <c r="A54">
        <v>52</v>
      </c>
      <c r="B54" t="s">
        <v>195</v>
      </c>
      <c r="C54" s="160" t="s">
        <v>480</v>
      </c>
      <c r="D54" s="158" t="s">
        <v>481</v>
      </c>
      <c r="H54" t="s">
        <v>87</v>
      </c>
      <c r="I54">
        <v>0</v>
      </c>
      <c r="J54" s="1">
        <v>5287</v>
      </c>
      <c r="K54" s="1" t="s">
        <v>17</v>
      </c>
      <c r="L54" s="34">
        <v>0.08</v>
      </c>
      <c r="M54" s="1">
        <f t="shared" si="5"/>
        <v>5885.4400000000014</v>
      </c>
      <c r="N54" s="1">
        <f t="shared" si="0"/>
        <v>4634</v>
      </c>
      <c r="O54" s="34">
        <v>0.15</v>
      </c>
      <c r="P54" s="1">
        <f t="shared" si="1"/>
        <v>5329</v>
      </c>
      <c r="Q54" s="34">
        <v>0.05</v>
      </c>
      <c r="R54" s="1">
        <f t="shared" si="2"/>
        <v>266</v>
      </c>
      <c r="S54" s="1">
        <f t="shared" si="3"/>
        <v>5063</v>
      </c>
      <c r="T54" s="1">
        <f t="shared" si="4"/>
        <v>6430</v>
      </c>
      <c r="U54" s="34">
        <v>0.1</v>
      </c>
      <c r="V54" s="34">
        <v>0.1</v>
      </c>
      <c r="W54" s="1">
        <v>0</v>
      </c>
      <c r="X54" s="1">
        <v>2000</v>
      </c>
      <c r="Y54" s="1">
        <v>0</v>
      </c>
    </row>
    <row r="55" spans="1:25" x14ac:dyDescent="0.35">
      <c r="A55">
        <v>53</v>
      </c>
      <c r="B55" t="s">
        <v>195</v>
      </c>
      <c r="C55" s="160" t="s">
        <v>326</v>
      </c>
      <c r="D55" s="158" t="s">
        <v>482</v>
      </c>
      <c r="E55" s="22" t="s">
        <v>198</v>
      </c>
      <c r="F55" s="159">
        <v>44971</v>
      </c>
      <c r="G55" s="159" t="s">
        <v>176</v>
      </c>
      <c r="H55" t="s">
        <v>87</v>
      </c>
      <c r="I55">
        <v>1</v>
      </c>
      <c r="J55" s="1">
        <v>876</v>
      </c>
      <c r="K55" s="1" t="s">
        <v>17</v>
      </c>
      <c r="L55" s="34">
        <v>0.08</v>
      </c>
      <c r="M55" s="1">
        <f t="shared" si="5"/>
        <v>975.2600000000001</v>
      </c>
      <c r="N55" s="1">
        <f t="shared" si="0"/>
        <v>768</v>
      </c>
      <c r="O55" s="34">
        <v>0.15</v>
      </c>
      <c r="P55" s="1">
        <f t="shared" si="1"/>
        <v>883</v>
      </c>
      <c r="Q55" s="34">
        <v>0.05</v>
      </c>
      <c r="R55" s="1">
        <f t="shared" si="2"/>
        <v>44</v>
      </c>
      <c r="S55" s="1">
        <f t="shared" si="3"/>
        <v>839</v>
      </c>
      <c r="T55" s="1">
        <f t="shared" si="4"/>
        <v>1066</v>
      </c>
      <c r="U55" s="34">
        <v>0.1</v>
      </c>
      <c r="V55" s="34">
        <v>0.1</v>
      </c>
      <c r="W55" s="1">
        <v>0</v>
      </c>
      <c r="X55" s="1">
        <v>2000</v>
      </c>
      <c r="Y55" s="1">
        <v>0</v>
      </c>
    </row>
    <row r="56" spans="1:25" x14ac:dyDescent="0.35">
      <c r="A56">
        <v>54</v>
      </c>
      <c r="B56" t="s">
        <v>195</v>
      </c>
      <c r="C56" s="160" t="s">
        <v>483</v>
      </c>
      <c r="D56" s="158" t="s">
        <v>484</v>
      </c>
      <c r="H56" t="s">
        <v>87</v>
      </c>
      <c r="I56">
        <v>0</v>
      </c>
      <c r="J56" s="1">
        <v>1262</v>
      </c>
      <c r="K56" s="1" t="s">
        <v>17</v>
      </c>
      <c r="L56" s="34">
        <v>0.08</v>
      </c>
      <c r="M56" s="1">
        <f t="shared" si="5"/>
        <v>1404.8100000000002</v>
      </c>
      <c r="N56" s="1">
        <f t="shared" si="0"/>
        <v>1106</v>
      </c>
      <c r="O56" s="34">
        <v>0.15</v>
      </c>
      <c r="P56" s="1">
        <f t="shared" si="1"/>
        <v>1272</v>
      </c>
      <c r="Q56" s="34">
        <v>0.05</v>
      </c>
      <c r="R56" s="1">
        <f t="shared" si="2"/>
        <v>64</v>
      </c>
      <c r="S56" s="1">
        <f t="shared" si="3"/>
        <v>1208</v>
      </c>
      <c r="T56" s="1">
        <f t="shared" si="4"/>
        <v>1534</v>
      </c>
      <c r="U56" s="34">
        <v>0.1</v>
      </c>
      <c r="V56" s="34">
        <v>0.1</v>
      </c>
      <c r="W56" s="1">
        <v>0</v>
      </c>
      <c r="X56" s="1">
        <v>2000</v>
      </c>
      <c r="Y56" s="1">
        <v>0</v>
      </c>
    </row>
    <row r="57" spans="1:25" x14ac:dyDescent="0.35">
      <c r="A57">
        <v>55</v>
      </c>
      <c r="B57" t="s">
        <v>195</v>
      </c>
      <c r="C57" s="160" t="s">
        <v>485</v>
      </c>
      <c r="D57" s="158" t="s">
        <v>486</v>
      </c>
      <c r="H57" t="s">
        <v>87</v>
      </c>
      <c r="I57">
        <v>0</v>
      </c>
      <c r="J57" s="1">
        <v>1753</v>
      </c>
      <c r="K57" s="1" t="s">
        <v>17</v>
      </c>
      <c r="L57" s="34">
        <v>0.08</v>
      </c>
      <c r="M57" s="1">
        <f t="shared" si="5"/>
        <v>1951.7300000000002</v>
      </c>
      <c r="N57" s="1">
        <f t="shared" si="0"/>
        <v>1537</v>
      </c>
      <c r="O57" s="34">
        <v>0.15</v>
      </c>
      <c r="P57" s="1">
        <f t="shared" si="1"/>
        <v>1768</v>
      </c>
      <c r="Q57" s="34">
        <v>0.05</v>
      </c>
      <c r="R57" s="1">
        <f t="shared" si="2"/>
        <v>88</v>
      </c>
      <c r="S57" s="1">
        <f t="shared" si="3"/>
        <v>1680</v>
      </c>
      <c r="T57" s="1">
        <f t="shared" si="4"/>
        <v>2134</v>
      </c>
      <c r="U57" s="34">
        <v>0.1</v>
      </c>
      <c r="V57" s="34">
        <v>0.1</v>
      </c>
      <c r="W57" s="1">
        <v>0</v>
      </c>
      <c r="X57" s="1">
        <v>2000</v>
      </c>
      <c r="Y57" s="1">
        <v>0</v>
      </c>
    </row>
    <row r="58" spans="1:25" x14ac:dyDescent="0.35">
      <c r="A58">
        <v>56</v>
      </c>
      <c r="B58" t="s">
        <v>195</v>
      </c>
      <c r="C58" s="160" t="s">
        <v>201</v>
      </c>
      <c r="D58" s="158" t="s">
        <v>202</v>
      </c>
      <c r="E58" s="22" t="s">
        <v>203</v>
      </c>
      <c r="F58" s="159">
        <v>44971</v>
      </c>
      <c r="G58" s="159" t="s">
        <v>176</v>
      </c>
      <c r="H58" t="s">
        <v>87</v>
      </c>
      <c r="I58">
        <v>1</v>
      </c>
      <c r="J58" s="1">
        <v>191</v>
      </c>
      <c r="K58" s="1" t="s">
        <v>17</v>
      </c>
      <c r="L58" s="34">
        <v>0.08</v>
      </c>
      <c r="M58" s="1">
        <f t="shared" si="5"/>
        <v>212.96000000000004</v>
      </c>
      <c r="N58" s="1">
        <f t="shared" si="0"/>
        <v>168</v>
      </c>
      <c r="O58" s="34">
        <v>0.15</v>
      </c>
      <c r="P58" s="1">
        <f t="shared" si="1"/>
        <v>193</v>
      </c>
      <c r="Q58" s="34">
        <v>0.05</v>
      </c>
      <c r="R58" s="1">
        <f t="shared" si="2"/>
        <v>10</v>
      </c>
      <c r="S58" s="1">
        <f t="shared" si="3"/>
        <v>183</v>
      </c>
      <c r="T58" s="1">
        <f t="shared" si="4"/>
        <v>232</v>
      </c>
      <c r="U58" s="34">
        <v>0.1</v>
      </c>
      <c r="V58" s="34">
        <v>0.1</v>
      </c>
      <c r="W58" s="1">
        <v>0</v>
      </c>
      <c r="X58" s="1">
        <v>500</v>
      </c>
      <c r="Y58" s="1">
        <v>0</v>
      </c>
    </row>
    <row r="59" spans="1:25" x14ac:dyDescent="0.35">
      <c r="A59">
        <v>57</v>
      </c>
      <c r="B59" t="s">
        <v>195</v>
      </c>
      <c r="C59" s="18" t="s">
        <v>204</v>
      </c>
      <c r="D59" s="158" t="s">
        <v>126</v>
      </c>
      <c r="E59" s="22" t="s">
        <v>205</v>
      </c>
      <c r="F59" s="159">
        <v>44971</v>
      </c>
      <c r="G59" s="159" t="s">
        <v>166</v>
      </c>
      <c r="H59" t="s">
        <v>87</v>
      </c>
      <c r="I59">
        <v>1</v>
      </c>
      <c r="J59" s="1">
        <v>336.55</v>
      </c>
      <c r="K59" s="1" t="s">
        <v>17</v>
      </c>
      <c r="L59" s="34">
        <v>0.08</v>
      </c>
      <c r="M59" s="1">
        <f t="shared" si="5"/>
        <v>375.1</v>
      </c>
      <c r="N59" s="1">
        <f t="shared" si="0"/>
        <v>295</v>
      </c>
      <c r="O59" s="34">
        <v>0.15</v>
      </c>
      <c r="P59" s="1">
        <f t="shared" si="1"/>
        <v>339</v>
      </c>
      <c r="Q59" s="34">
        <v>0.05</v>
      </c>
      <c r="R59" s="1">
        <f t="shared" si="2"/>
        <v>17</v>
      </c>
      <c r="S59" s="1">
        <f t="shared" si="3"/>
        <v>322</v>
      </c>
      <c r="T59" s="1">
        <f t="shared" si="4"/>
        <v>409</v>
      </c>
      <c r="U59" s="34">
        <v>0.1</v>
      </c>
      <c r="V59" s="34">
        <v>0.1</v>
      </c>
      <c r="W59" s="1">
        <v>0</v>
      </c>
      <c r="X59" s="1">
        <v>300</v>
      </c>
      <c r="Y59" s="1">
        <v>0</v>
      </c>
    </row>
    <row r="60" spans="1:25" x14ac:dyDescent="0.35">
      <c r="A60">
        <v>58</v>
      </c>
      <c r="B60" t="s">
        <v>195</v>
      </c>
      <c r="C60" s="18" t="s">
        <v>487</v>
      </c>
      <c r="D60" s="158" t="s">
        <v>127</v>
      </c>
      <c r="E60" s="22" t="s">
        <v>205</v>
      </c>
      <c r="F60" s="159">
        <v>44971</v>
      </c>
      <c r="G60" s="159"/>
      <c r="H60" t="s">
        <v>87</v>
      </c>
      <c r="I60">
        <v>0</v>
      </c>
      <c r="J60" s="1">
        <v>519.42999999999995</v>
      </c>
      <c r="K60" s="1" t="s">
        <v>17</v>
      </c>
      <c r="L60" s="34">
        <v>0.08</v>
      </c>
      <c r="M60" s="1">
        <f t="shared" si="5"/>
        <v>578.38000000000011</v>
      </c>
      <c r="N60" s="1">
        <f t="shared" si="0"/>
        <v>455</v>
      </c>
      <c r="O60" s="34">
        <v>0.15</v>
      </c>
      <c r="P60" s="1">
        <f t="shared" si="1"/>
        <v>523</v>
      </c>
      <c r="Q60" s="34">
        <v>0.05</v>
      </c>
      <c r="R60" s="1">
        <f t="shared" si="2"/>
        <v>26</v>
      </c>
      <c r="S60" s="1">
        <f t="shared" si="3"/>
        <v>497</v>
      </c>
      <c r="T60" s="1">
        <f t="shared" si="4"/>
        <v>631</v>
      </c>
      <c r="U60" s="34">
        <v>0.1</v>
      </c>
      <c r="V60" s="34">
        <v>0.1</v>
      </c>
      <c r="W60" s="1">
        <v>0</v>
      </c>
      <c r="X60" s="1">
        <v>300</v>
      </c>
      <c r="Y60" s="1">
        <v>0</v>
      </c>
    </row>
    <row r="61" spans="1:25" x14ac:dyDescent="0.35">
      <c r="A61">
        <v>59</v>
      </c>
      <c r="B61" t="s">
        <v>195</v>
      </c>
      <c r="C61" s="160" t="s">
        <v>488</v>
      </c>
      <c r="D61" s="158" t="s">
        <v>489</v>
      </c>
      <c r="H61" t="s">
        <v>87</v>
      </c>
      <c r="I61">
        <v>0</v>
      </c>
      <c r="J61" s="1">
        <v>317</v>
      </c>
      <c r="K61" s="1" t="s">
        <v>17</v>
      </c>
      <c r="L61" s="34">
        <v>0.08</v>
      </c>
      <c r="M61" s="1">
        <f t="shared" si="5"/>
        <v>353.32000000000011</v>
      </c>
      <c r="N61" s="1">
        <f t="shared" si="0"/>
        <v>278</v>
      </c>
      <c r="O61" s="34">
        <v>0.15</v>
      </c>
      <c r="P61" s="1">
        <f t="shared" si="1"/>
        <v>320</v>
      </c>
      <c r="Q61" s="34">
        <v>0.05</v>
      </c>
      <c r="R61" s="1">
        <f t="shared" si="2"/>
        <v>16</v>
      </c>
      <c r="S61" s="1">
        <f t="shared" si="3"/>
        <v>304</v>
      </c>
      <c r="T61" s="1">
        <f t="shared" si="4"/>
        <v>386</v>
      </c>
      <c r="U61" s="34">
        <v>0.1</v>
      </c>
      <c r="V61" s="34">
        <v>0.1</v>
      </c>
      <c r="W61" s="1">
        <v>0</v>
      </c>
      <c r="X61" s="1">
        <v>300</v>
      </c>
      <c r="Y61" s="1">
        <v>0</v>
      </c>
    </row>
    <row r="62" spans="1:25" x14ac:dyDescent="0.35">
      <c r="A62">
        <v>60</v>
      </c>
      <c r="B62" t="s">
        <v>195</v>
      </c>
      <c r="C62" s="18" t="s">
        <v>206</v>
      </c>
      <c r="D62" s="158" t="s">
        <v>207</v>
      </c>
      <c r="E62" s="22" t="s">
        <v>205</v>
      </c>
      <c r="F62" s="159">
        <v>44971</v>
      </c>
      <c r="G62" s="159" t="s">
        <v>166</v>
      </c>
      <c r="H62" t="s">
        <v>87</v>
      </c>
      <c r="I62">
        <v>1</v>
      </c>
      <c r="J62" s="1">
        <v>853</v>
      </c>
      <c r="K62" s="1" t="s">
        <v>17</v>
      </c>
      <c r="L62" s="34">
        <v>0.08</v>
      </c>
      <c r="M62" s="1">
        <f t="shared" si="5"/>
        <v>949.85000000000025</v>
      </c>
      <c r="N62" s="1">
        <f t="shared" si="0"/>
        <v>748</v>
      </c>
      <c r="O62" s="34">
        <v>0.15</v>
      </c>
      <c r="P62" s="1">
        <f t="shared" si="1"/>
        <v>860</v>
      </c>
      <c r="Q62" s="34">
        <v>0.05</v>
      </c>
      <c r="R62" s="1">
        <f t="shared" si="2"/>
        <v>43</v>
      </c>
      <c r="S62" s="1">
        <f t="shared" si="3"/>
        <v>817</v>
      </c>
      <c r="T62" s="1">
        <f t="shared" si="4"/>
        <v>1038</v>
      </c>
      <c r="U62" s="34">
        <v>0.1</v>
      </c>
      <c r="V62" s="34">
        <v>0.1</v>
      </c>
      <c r="W62" s="1">
        <v>0</v>
      </c>
      <c r="X62" s="1">
        <v>300</v>
      </c>
      <c r="Y62" s="1">
        <v>0</v>
      </c>
    </row>
    <row r="63" spans="1:25" x14ac:dyDescent="0.35">
      <c r="A63">
        <v>61</v>
      </c>
      <c r="B63" t="s">
        <v>195</v>
      </c>
      <c r="C63" s="160" t="s">
        <v>490</v>
      </c>
      <c r="D63" s="158" t="s">
        <v>491</v>
      </c>
      <c r="H63" t="s">
        <v>87</v>
      </c>
      <c r="I63">
        <v>0</v>
      </c>
      <c r="J63" s="1">
        <v>390</v>
      </c>
      <c r="K63" s="1" t="s">
        <v>17</v>
      </c>
      <c r="L63" s="34">
        <v>0.08</v>
      </c>
      <c r="M63" s="1">
        <f t="shared" si="5"/>
        <v>434.3900000000001</v>
      </c>
      <c r="N63" s="1">
        <f t="shared" si="0"/>
        <v>342</v>
      </c>
      <c r="O63" s="34">
        <v>0.15</v>
      </c>
      <c r="P63" s="1">
        <f t="shared" si="1"/>
        <v>393</v>
      </c>
      <c r="Q63" s="34">
        <v>0.05</v>
      </c>
      <c r="R63" s="1">
        <f t="shared" si="2"/>
        <v>20</v>
      </c>
      <c r="S63" s="1">
        <f t="shared" si="3"/>
        <v>373</v>
      </c>
      <c r="T63" s="1">
        <f t="shared" si="4"/>
        <v>474</v>
      </c>
      <c r="U63" s="34">
        <v>0.1</v>
      </c>
      <c r="V63" s="34">
        <v>0.1</v>
      </c>
      <c r="W63" s="1">
        <v>0</v>
      </c>
      <c r="X63" s="1">
        <v>300</v>
      </c>
      <c r="Y63" s="1">
        <v>0</v>
      </c>
    </row>
    <row r="64" spans="1:25" x14ac:dyDescent="0.35">
      <c r="A64">
        <v>62</v>
      </c>
      <c r="B64" t="s">
        <v>195</v>
      </c>
      <c r="C64" s="160" t="s">
        <v>492</v>
      </c>
      <c r="D64" s="158" t="s">
        <v>493</v>
      </c>
      <c r="H64" t="s">
        <v>87</v>
      </c>
      <c r="I64">
        <v>0</v>
      </c>
      <c r="J64" s="1">
        <v>618</v>
      </c>
      <c r="K64" s="1" t="s">
        <v>17</v>
      </c>
      <c r="L64" s="34">
        <v>0.08</v>
      </c>
      <c r="M64" s="1">
        <f t="shared" si="5"/>
        <v>688.49000000000012</v>
      </c>
      <c r="N64" s="1">
        <f t="shared" si="0"/>
        <v>542</v>
      </c>
      <c r="O64" s="34">
        <v>0.15</v>
      </c>
      <c r="P64" s="1">
        <f t="shared" si="1"/>
        <v>623</v>
      </c>
      <c r="Q64" s="34">
        <v>0.05</v>
      </c>
      <c r="R64" s="1">
        <f t="shared" si="2"/>
        <v>31</v>
      </c>
      <c r="S64" s="1">
        <f t="shared" si="3"/>
        <v>592</v>
      </c>
      <c r="T64" s="1">
        <f t="shared" si="4"/>
        <v>752</v>
      </c>
      <c r="U64" s="34">
        <v>0.1</v>
      </c>
      <c r="V64" s="34">
        <v>0.1</v>
      </c>
      <c r="W64" s="1">
        <v>0</v>
      </c>
      <c r="X64" s="1">
        <v>300</v>
      </c>
      <c r="Y64" s="1">
        <v>0</v>
      </c>
    </row>
    <row r="65" spans="1:25" x14ac:dyDescent="0.35">
      <c r="A65">
        <v>63</v>
      </c>
      <c r="B65" t="s">
        <v>195</v>
      </c>
      <c r="C65" s="160" t="s">
        <v>494</v>
      </c>
      <c r="D65" s="158" t="s">
        <v>495</v>
      </c>
      <c r="H65" t="s">
        <v>87</v>
      </c>
      <c r="I65">
        <v>0</v>
      </c>
      <c r="J65" s="1">
        <v>627</v>
      </c>
      <c r="K65" s="1" t="s">
        <v>17</v>
      </c>
      <c r="L65" s="34">
        <v>0.08</v>
      </c>
      <c r="M65" s="1">
        <f t="shared" si="5"/>
        <v>698.17000000000007</v>
      </c>
      <c r="N65" s="1">
        <f t="shared" si="0"/>
        <v>550</v>
      </c>
      <c r="O65" s="34">
        <v>0.15</v>
      </c>
      <c r="P65" s="1">
        <f t="shared" si="1"/>
        <v>633</v>
      </c>
      <c r="Q65" s="34">
        <v>0.05</v>
      </c>
      <c r="R65" s="1">
        <f t="shared" si="2"/>
        <v>32</v>
      </c>
      <c r="S65" s="1">
        <f t="shared" si="3"/>
        <v>601</v>
      </c>
      <c r="T65" s="1">
        <f t="shared" si="4"/>
        <v>763</v>
      </c>
      <c r="U65" s="34">
        <v>0.1</v>
      </c>
      <c r="V65" s="34">
        <v>0.1</v>
      </c>
      <c r="W65" s="1">
        <v>0</v>
      </c>
      <c r="X65" s="1">
        <v>300</v>
      </c>
      <c r="Y65" s="1">
        <v>0</v>
      </c>
    </row>
    <row r="66" spans="1:25" x14ac:dyDescent="0.35">
      <c r="A66">
        <v>64</v>
      </c>
      <c r="B66" t="s">
        <v>195</v>
      </c>
      <c r="C66" s="18" t="s">
        <v>496</v>
      </c>
      <c r="D66" s="158" t="s">
        <v>497</v>
      </c>
      <c r="E66" s="22" t="s">
        <v>498</v>
      </c>
      <c r="F66" s="159">
        <v>44971</v>
      </c>
      <c r="G66" s="159"/>
      <c r="H66" t="s">
        <v>87</v>
      </c>
      <c r="I66">
        <v>0</v>
      </c>
      <c r="J66" s="1">
        <v>937</v>
      </c>
      <c r="K66" s="1" t="s">
        <v>17</v>
      </c>
      <c r="L66" s="34">
        <v>0.08</v>
      </c>
      <c r="M66" s="1">
        <f t="shared" si="5"/>
        <v>1043.0200000000002</v>
      </c>
      <c r="N66" s="1">
        <f t="shared" ref="N66:N129" si="6">ROUND(M66/1.27,0)</f>
        <v>821</v>
      </c>
      <c r="O66" s="34">
        <v>0.15</v>
      </c>
      <c r="P66" s="1">
        <f t="shared" ref="P66:P129" si="7">ROUND(N66*(1+O66),0)</f>
        <v>944</v>
      </c>
      <c r="Q66" s="34">
        <v>0.05</v>
      </c>
      <c r="R66" s="1">
        <f t="shared" ref="R66:R129" si="8">ROUND(P66*Q66,0)</f>
        <v>47</v>
      </c>
      <c r="S66" s="1">
        <f t="shared" ref="S66:S129" si="9">ROUND(P66-R66,0)</f>
        <v>897</v>
      </c>
      <c r="T66" s="1">
        <f t="shared" ref="T66:T129" si="10">ROUND(S66*1.27,0)</f>
        <v>1139</v>
      </c>
      <c r="U66" s="34">
        <v>0.1</v>
      </c>
      <c r="V66" s="34">
        <v>0.1</v>
      </c>
      <c r="W66" s="1">
        <v>0</v>
      </c>
      <c r="X66" s="1">
        <v>300</v>
      </c>
      <c r="Y66" s="1">
        <v>0</v>
      </c>
    </row>
    <row r="67" spans="1:25" x14ac:dyDescent="0.35">
      <c r="A67">
        <v>65</v>
      </c>
      <c r="B67" t="s">
        <v>195</v>
      </c>
      <c r="C67" s="160" t="s">
        <v>208</v>
      </c>
      <c r="D67" s="158" t="s">
        <v>209</v>
      </c>
      <c r="E67" s="22" t="s">
        <v>210</v>
      </c>
      <c r="F67" s="159">
        <v>44971</v>
      </c>
      <c r="G67" s="159" t="s">
        <v>176</v>
      </c>
      <c r="H67" t="s">
        <v>87</v>
      </c>
      <c r="I67">
        <v>1</v>
      </c>
      <c r="J67" s="1">
        <v>216</v>
      </c>
      <c r="K67" s="1" t="s">
        <v>17</v>
      </c>
      <c r="L67" s="34">
        <v>0.08</v>
      </c>
      <c r="M67" s="1">
        <f t="shared" si="5"/>
        <v>240.79000000000002</v>
      </c>
      <c r="N67" s="1">
        <f t="shared" si="6"/>
        <v>190</v>
      </c>
      <c r="O67" s="34">
        <v>0.15</v>
      </c>
      <c r="P67" s="1">
        <f t="shared" si="7"/>
        <v>219</v>
      </c>
      <c r="Q67" s="34">
        <v>0.05</v>
      </c>
      <c r="R67" s="1">
        <f t="shared" si="8"/>
        <v>11</v>
      </c>
      <c r="S67" s="1">
        <f t="shared" si="9"/>
        <v>208</v>
      </c>
      <c r="T67" s="1">
        <f t="shared" si="10"/>
        <v>264</v>
      </c>
      <c r="U67" s="34">
        <v>0.1</v>
      </c>
      <c r="V67" s="34">
        <v>0.1</v>
      </c>
      <c r="W67" s="1">
        <v>0</v>
      </c>
      <c r="X67" s="1">
        <v>300</v>
      </c>
      <c r="Y67" s="1">
        <v>0</v>
      </c>
    </row>
    <row r="68" spans="1:25" x14ac:dyDescent="0.35">
      <c r="A68">
        <v>66</v>
      </c>
      <c r="B68" t="s">
        <v>195</v>
      </c>
      <c r="C68" s="160" t="s">
        <v>499</v>
      </c>
      <c r="H68" t="s">
        <v>500</v>
      </c>
      <c r="I68">
        <v>1</v>
      </c>
      <c r="J68" s="1">
        <v>883</v>
      </c>
      <c r="K68" s="1" t="s">
        <v>17</v>
      </c>
      <c r="L68" s="34">
        <v>0</v>
      </c>
      <c r="M68" s="1">
        <f t="shared" ref="M68:M130" si="11">ROUND(J68*(1-L68),0)*(1+U68)*(1+V68)</f>
        <v>1068.43</v>
      </c>
      <c r="N68" s="1">
        <f t="shared" si="6"/>
        <v>841</v>
      </c>
      <c r="O68" s="34">
        <v>0.15</v>
      </c>
      <c r="P68" s="1">
        <f t="shared" si="7"/>
        <v>967</v>
      </c>
      <c r="Q68" s="34">
        <v>0.05</v>
      </c>
      <c r="R68" s="1">
        <f t="shared" si="8"/>
        <v>48</v>
      </c>
      <c r="S68" s="1">
        <f t="shared" si="9"/>
        <v>919</v>
      </c>
      <c r="T68" s="1">
        <f t="shared" si="10"/>
        <v>1167</v>
      </c>
      <c r="U68" s="34">
        <v>0.1</v>
      </c>
      <c r="V68" s="34">
        <v>0.1</v>
      </c>
      <c r="W68" s="1">
        <v>0</v>
      </c>
      <c r="X68" s="1">
        <v>300</v>
      </c>
      <c r="Y68" s="1">
        <v>0</v>
      </c>
    </row>
    <row r="69" spans="1:25" x14ac:dyDescent="0.35">
      <c r="A69">
        <v>67</v>
      </c>
      <c r="B69" t="s">
        <v>211</v>
      </c>
      <c r="C69" s="160" t="s">
        <v>501</v>
      </c>
      <c r="D69" s="158" t="s">
        <v>502</v>
      </c>
      <c r="H69" t="s">
        <v>87</v>
      </c>
      <c r="I69">
        <v>0</v>
      </c>
      <c r="J69" s="1">
        <v>995</v>
      </c>
      <c r="K69" s="1" t="s">
        <v>12</v>
      </c>
      <c r="L69" s="34">
        <v>0.08</v>
      </c>
      <c r="M69" s="1">
        <f t="shared" si="11"/>
        <v>1107.1500000000003</v>
      </c>
      <c r="N69" s="1">
        <f t="shared" si="6"/>
        <v>872</v>
      </c>
      <c r="O69" s="34">
        <v>0.15</v>
      </c>
      <c r="P69" s="1">
        <f t="shared" si="7"/>
        <v>1003</v>
      </c>
      <c r="Q69" s="34">
        <v>0.05</v>
      </c>
      <c r="R69" s="1">
        <f t="shared" si="8"/>
        <v>50</v>
      </c>
      <c r="S69" s="1">
        <f t="shared" si="9"/>
        <v>953</v>
      </c>
      <c r="T69" s="1">
        <f t="shared" si="10"/>
        <v>1210</v>
      </c>
      <c r="U69" s="34">
        <v>0.1</v>
      </c>
      <c r="V69" s="34">
        <v>0.1</v>
      </c>
      <c r="W69" s="1">
        <v>0</v>
      </c>
      <c r="X69" s="1">
        <v>500</v>
      </c>
      <c r="Y69" s="1">
        <v>0</v>
      </c>
    </row>
    <row r="70" spans="1:25" x14ac:dyDescent="0.35">
      <c r="A70">
        <v>68</v>
      </c>
      <c r="B70" t="s">
        <v>211</v>
      </c>
      <c r="C70" s="160" t="s">
        <v>503</v>
      </c>
      <c r="H70" t="s">
        <v>87</v>
      </c>
      <c r="I70">
        <v>0</v>
      </c>
      <c r="J70" s="27">
        <v>1000</v>
      </c>
      <c r="K70" s="1" t="s">
        <v>12</v>
      </c>
      <c r="L70" s="34">
        <v>0.08</v>
      </c>
      <c r="M70" s="1">
        <f t="shared" si="11"/>
        <v>1113.2000000000003</v>
      </c>
      <c r="N70" s="1">
        <f t="shared" si="6"/>
        <v>877</v>
      </c>
      <c r="O70" s="34">
        <v>0.15</v>
      </c>
      <c r="P70" s="1">
        <f t="shared" si="7"/>
        <v>1009</v>
      </c>
      <c r="Q70" s="34">
        <v>0.05</v>
      </c>
      <c r="R70" s="1">
        <f t="shared" si="8"/>
        <v>50</v>
      </c>
      <c r="S70" s="1">
        <f t="shared" si="9"/>
        <v>959</v>
      </c>
      <c r="T70" s="1">
        <f t="shared" si="10"/>
        <v>1218</v>
      </c>
      <c r="U70" s="34">
        <v>0.1</v>
      </c>
      <c r="V70" s="34">
        <v>0.1</v>
      </c>
      <c r="W70" s="1">
        <v>0</v>
      </c>
      <c r="X70" s="1">
        <v>500</v>
      </c>
      <c r="Y70" s="1">
        <v>0</v>
      </c>
    </row>
    <row r="71" spans="1:25" x14ac:dyDescent="0.35">
      <c r="A71">
        <v>69</v>
      </c>
      <c r="B71" t="s">
        <v>211</v>
      </c>
      <c r="C71" s="160" t="s">
        <v>504</v>
      </c>
      <c r="D71" s="158" t="s">
        <v>505</v>
      </c>
      <c r="H71" t="s">
        <v>87</v>
      </c>
      <c r="I71">
        <v>0</v>
      </c>
      <c r="J71" s="1">
        <v>1084</v>
      </c>
      <c r="K71" s="1" t="s">
        <v>12</v>
      </c>
      <c r="L71" s="34">
        <v>0.08</v>
      </c>
      <c r="M71" s="1">
        <f t="shared" si="11"/>
        <v>1206.3700000000001</v>
      </c>
      <c r="N71" s="1">
        <f t="shared" si="6"/>
        <v>950</v>
      </c>
      <c r="O71" s="34">
        <v>0.15</v>
      </c>
      <c r="P71" s="1">
        <f t="shared" si="7"/>
        <v>1093</v>
      </c>
      <c r="Q71" s="34">
        <v>0.05</v>
      </c>
      <c r="R71" s="1">
        <f t="shared" si="8"/>
        <v>55</v>
      </c>
      <c r="S71" s="1">
        <f t="shared" si="9"/>
        <v>1038</v>
      </c>
      <c r="T71" s="1">
        <f t="shared" si="10"/>
        <v>1318</v>
      </c>
      <c r="U71" s="34">
        <v>0.1</v>
      </c>
      <c r="V71" s="34">
        <v>0.1</v>
      </c>
      <c r="W71" s="1">
        <v>0</v>
      </c>
      <c r="X71" s="1">
        <v>500</v>
      </c>
      <c r="Y71" s="1">
        <v>0</v>
      </c>
    </row>
    <row r="72" spans="1:25" x14ac:dyDescent="0.35">
      <c r="A72">
        <v>70</v>
      </c>
      <c r="B72" t="s">
        <v>211</v>
      </c>
      <c r="C72" s="160" t="s">
        <v>506</v>
      </c>
      <c r="D72" s="158" t="s">
        <v>507</v>
      </c>
      <c r="H72" t="s">
        <v>87</v>
      </c>
      <c r="I72">
        <v>0</v>
      </c>
      <c r="J72" s="1">
        <v>1178</v>
      </c>
      <c r="K72" s="1" t="s">
        <v>12</v>
      </c>
      <c r="L72" s="34">
        <v>0.08</v>
      </c>
      <c r="M72" s="1">
        <f t="shared" si="11"/>
        <v>1311.64</v>
      </c>
      <c r="N72" s="1">
        <f t="shared" si="6"/>
        <v>1033</v>
      </c>
      <c r="O72" s="34">
        <v>0.15</v>
      </c>
      <c r="P72" s="1">
        <f t="shared" si="7"/>
        <v>1188</v>
      </c>
      <c r="Q72" s="34">
        <v>0.05</v>
      </c>
      <c r="R72" s="1">
        <f t="shared" si="8"/>
        <v>59</v>
      </c>
      <c r="S72" s="1">
        <f t="shared" si="9"/>
        <v>1129</v>
      </c>
      <c r="T72" s="1">
        <f t="shared" si="10"/>
        <v>1434</v>
      </c>
      <c r="U72" s="34">
        <v>0.1</v>
      </c>
      <c r="V72" s="34">
        <v>0.1</v>
      </c>
      <c r="W72" s="1">
        <v>0</v>
      </c>
      <c r="X72" s="1">
        <v>500</v>
      </c>
      <c r="Y72" s="1">
        <v>0</v>
      </c>
    </row>
    <row r="73" spans="1:25" x14ac:dyDescent="0.35">
      <c r="A73">
        <v>71</v>
      </c>
      <c r="B73" t="s">
        <v>211</v>
      </c>
      <c r="C73" s="160" t="s">
        <v>508</v>
      </c>
      <c r="D73" s="158" t="s">
        <v>509</v>
      </c>
      <c r="H73" t="s">
        <v>87</v>
      </c>
      <c r="I73">
        <v>0</v>
      </c>
      <c r="J73" s="1">
        <v>716</v>
      </c>
      <c r="K73" s="1" t="s">
        <v>12</v>
      </c>
      <c r="L73" s="34">
        <v>0.08</v>
      </c>
      <c r="M73" s="1">
        <f t="shared" si="11"/>
        <v>797.39000000000021</v>
      </c>
      <c r="N73" s="1">
        <f t="shared" si="6"/>
        <v>628</v>
      </c>
      <c r="O73" s="34">
        <v>0.15</v>
      </c>
      <c r="P73" s="1">
        <f t="shared" si="7"/>
        <v>722</v>
      </c>
      <c r="Q73" s="34">
        <v>0.05</v>
      </c>
      <c r="R73" s="1">
        <f t="shared" si="8"/>
        <v>36</v>
      </c>
      <c r="S73" s="1">
        <f t="shared" si="9"/>
        <v>686</v>
      </c>
      <c r="T73" s="1">
        <f t="shared" si="10"/>
        <v>871</v>
      </c>
      <c r="U73" s="34">
        <v>0.1</v>
      </c>
      <c r="V73" s="34">
        <v>0.1</v>
      </c>
      <c r="W73" s="1">
        <v>0</v>
      </c>
      <c r="X73" s="1">
        <v>500</v>
      </c>
      <c r="Y73" s="1">
        <v>0</v>
      </c>
    </row>
    <row r="74" spans="1:25" x14ac:dyDescent="0.35">
      <c r="A74">
        <v>72</v>
      </c>
      <c r="B74" t="s">
        <v>211</v>
      </c>
      <c r="C74" s="160" t="s">
        <v>510</v>
      </c>
      <c r="D74" s="158" t="s">
        <v>511</v>
      </c>
      <c r="H74" t="s">
        <v>87</v>
      </c>
      <c r="I74">
        <v>0</v>
      </c>
      <c r="J74" s="1">
        <v>716</v>
      </c>
      <c r="K74" s="1" t="s">
        <v>12</v>
      </c>
      <c r="L74" s="34">
        <v>0.08</v>
      </c>
      <c r="M74" s="1">
        <f t="shared" si="11"/>
        <v>797.39000000000021</v>
      </c>
      <c r="N74" s="1">
        <f t="shared" si="6"/>
        <v>628</v>
      </c>
      <c r="O74" s="34">
        <v>0.15</v>
      </c>
      <c r="P74" s="1">
        <f t="shared" si="7"/>
        <v>722</v>
      </c>
      <c r="Q74" s="34">
        <v>0.05</v>
      </c>
      <c r="R74" s="1">
        <f t="shared" si="8"/>
        <v>36</v>
      </c>
      <c r="S74" s="1">
        <f t="shared" si="9"/>
        <v>686</v>
      </c>
      <c r="T74" s="1">
        <f t="shared" si="10"/>
        <v>871</v>
      </c>
      <c r="U74" s="34">
        <v>0.1</v>
      </c>
      <c r="V74" s="34">
        <v>0.1</v>
      </c>
      <c r="W74" s="1">
        <v>0</v>
      </c>
      <c r="X74" s="1">
        <v>500</v>
      </c>
      <c r="Y74" s="1">
        <v>0</v>
      </c>
    </row>
    <row r="75" spans="1:25" x14ac:dyDescent="0.35">
      <c r="A75">
        <v>73</v>
      </c>
      <c r="B75" t="s">
        <v>211</v>
      </c>
      <c r="C75" s="160" t="s">
        <v>512</v>
      </c>
      <c r="D75" s="158" t="s">
        <v>513</v>
      </c>
      <c r="H75" t="s">
        <v>87</v>
      </c>
      <c r="I75">
        <v>0</v>
      </c>
      <c r="J75" s="1">
        <v>930</v>
      </c>
      <c r="K75" s="1" t="s">
        <v>12</v>
      </c>
      <c r="L75" s="34">
        <v>0.08</v>
      </c>
      <c r="M75" s="1">
        <f t="shared" si="11"/>
        <v>1035.7600000000002</v>
      </c>
      <c r="N75" s="1">
        <f t="shared" si="6"/>
        <v>816</v>
      </c>
      <c r="O75" s="34">
        <v>0.15</v>
      </c>
      <c r="P75" s="1">
        <f t="shared" si="7"/>
        <v>938</v>
      </c>
      <c r="Q75" s="34">
        <v>0.05</v>
      </c>
      <c r="R75" s="1">
        <f t="shared" si="8"/>
        <v>47</v>
      </c>
      <c r="S75" s="1">
        <f t="shared" si="9"/>
        <v>891</v>
      </c>
      <c r="T75" s="1">
        <f t="shared" si="10"/>
        <v>1132</v>
      </c>
      <c r="U75" s="34">
        <v>0.1</v>
      </c>
      <c r="V75" s="34">
        <v>0.1</v>
      </c>
      <c r="W75" s="1">
        <v>0</v>
      </c>
      <c r="X75" s="1">
        <v>500</v>
      </c>
      <c r="Y75" s="1">
        <v>0</v>
      </c>
    </row>
    <row r="76" spans="1:25" x14ac:dyDescent="0.35">
      <c r="A76">
        <v>74</v>
      </c>
      <c r="B76" t="s">
        <v>211</v>
      </c>
      <c r="C76" s="18" t="s">
        <v>212</v>
      </c>
      <c r="D76" s="158" t="s">
        <v>128</v>
      </c>
      <c r="E76" s="22" t="s">
        <v>213</v>
      </c>
      <c r="F76" s="159">
        <v>44971</v>
      </c>
      <c r="G76" s="159" t="s">
        <v>176</v>
      </c>
      <c r="H76" t="s">
        <v>87</v>
      </c>
      <c r="I76">
        <v>1</v>
      </c>
      <c r="J76" s="1">
        <v>1387</v>
      </c>
      <c r="K76" s="1" t="s">
        <v>12</v>
      </c>
      <c r="L76" s="34">
        <v>0.08</v>
      </c>
      <c r="M76" s="1">
        <f t="shared" si="11"/>
        <v>1543.9600000000003</v>
      </c>
      <c r="N76" s="1">
        <f t="shared" si="6"/>
        <v>1216</v>
      </c>
      <c r="O76" s="34">
        <v>0.15</v>
      </c>
      <c r="P76" s="1">
        <f t="shared" si="7"/>
        <v>1398</v>
      </c>
      <c r="Q76" s="34">
        <v>0.05</v>
      </c>
      <c r="R76" s="1">
        <f t="shared" si="8"/>
        <v>70</v>
      </c>
      <c r="S76" s="1">
        <f t="shared" si="9"/>
        <v>1328</v>
      </c>
      <c r="T76" s="1">
        <f t="shared" si="10"/>
        <v>1687</v>
      </c>
      <c r="U76" s="34">
        <v>0.1</v>
      </c>
      <c r="V76" s="34">
        <v>0.1</v>
      </c>
      <c r="W76" s="1">
        <v>0</v>
      </c>
      <c r="X76" s="1">
        <v>500</v>
      </c>
      <c r="Y76" s="1">
        <v>0</v>
      </c>
    </row>
    <row r="77" spans="1:25" x14ac:dyDescent="0.35">
      <c r="A77">
        <v>75</v>
      </c>
      <c r="B77" t="s">
        <v>211</v>
      </c>
      <c r="C77" s="160" t="s">
        <v>321</v>
      </c>
      <c r="D77" s="158" t="s">
        <v>391</v>
      </c>
      <c r="E77" s="22" t="s">
        <v>213</v>
      </c>
      <c r="F77" s="159">
        <v>44971</v>
      </c>
      <c r="G77" s="159" t="s">
        <v>176</v>
      </c>
      <c r="H77" t="s">
        <v>87</v>
      </c>
      <c r="I77">
        <v>1</v>
      </c>
      <c r="J77" s="1">
        <v>1210</v>
      </c>
      <c r="K77" s="1" t="s">
        <v>12</v>
      </c>
      <c r="L77" s="34">
        <v>0.08</v>
      </c>
      <c r="M77" s="1">
        <f t="shared" si="11"/>
        <v>1346.7300000000002</v>
      </c>
      <c r="N77" s="1">
        <f t="shared" si="6"/>
        <v>1060</v>
      </c>
      <c r="O77" s="34">
        <v>0.15</v>
      </c>
      <c r="P77" s="1">
        <f t="shared" si="7"/>
        <v>1219</v>
      </c>
      <c r="Q77" s="34">
        <v>0.05</v>
      </c>
      <c r="R77" s="1">
        <f t="shared" si="8"/>
        <v>61</v>
      </c>
      <c r="S77" s="1">
        <f t="shared" si="9"/>
        <v>1158</v>
      </c>
      <c r="T77" s="1">
        <f t="shared" si="10"/>
        <v>1471</v>
      </c>
      <c r="U77" s="34">
        <v>0.1</v>
      </c>
      <c r="V77" s="34">
        <v>0.1</v>
      </c>
      <c r="W77" s="1">
        <v>0</v>
      </c>
      <c r="X77" s="1">
        <v>500</v>
      </c>
      <c r="Y77" s="1">
        <v>0</v>
      </c>
    </row>
    <row r="78" spans="1:25" x14ac:dyDescent="0.35">
      <c r="A78">
        <v>76</v>
      </c>
      <c r="B78" t="s">
        <v>211</v>
      </c>
      <c r="C78" s="18" t="s">
        <v>214</v>
      </c>
      <c r="D78" s="158" t="s">
        <v>215</v>
      </c>
      <c r="E78" s="22" t="s">
        <v>213</v>
      </c>
      <c r="F78" s="159">
        <v>44971</v>
      </c>
      <c r="G78" s="159" t="s">
        <v>176</v>
      </c>
      <c r="H78" t="s">
        <v>87</v>
      </c>
      <c r="I78">
        <v>1</v>
      </c>
      <c r="J78" s="1">
        <v>1385</v>
      </c>
      <c r="K78" s="1" t="s">
        <v>12</v>
      </c>
      <c r="L78" s="34">
        <v>0.08</v>
      </c>
      <c r="M78" s="1">
        <f t="shared" si="11"/>
        <v>1541.5400000000002</v>
      </c>
      <c r="N78" s="1">
        <f t="shared" si="6"/>
        <v>1214</v>
      </c>
      <c r="O78" s="34">
        <v>0.15</v>
      </c>
      <c r="P78" s="1">
        <f t="shared" si="7"/>
        <v>1396</v>
      </c>
      <c r="Q78" s="34">
        <v>0.05</v>
      </c>
      <c r="R78" s="1">
        <f t="shared" si="8"/>
        <v>70</v>
      </c>
      <c r="S78" s="1">
        <f t="shared" si="9"/>
        <v>1326</v>
      </c>
      <c r="T78" s="1">
        <f t="shared" si="10"/>
        <v>1684</v>
      </c>
      <c r="U78" s="34">
        <v>0.1</v>
      </c>
      <c r="V78" s="34">
        <v>0.1</v>
      </c>
      <c r="W78" s="1">
        <v>0</v>
      </c>
      <c r="X78" s="1">
        <v>500</v>
      </c>
      <c r="Y78" s="1">
        <v>0</v>
      </c>
    </row>
    <row r="79" spans="1:25" x14ac:dyDescent="0.35">
      <c r="A79">
        <v>77</v>
      </c>
      <c r="B79" t="s">
        <v>211</v>
      </c>
      <c r="C79" s="160" t="s">
        <v>514</v>
      </c>
      <c r="D79" s="158" t="s">
        <v>515</v>
      </c>
      <c r="E79" s="22" t="s">
        <v>213</v>
      </c>
      <c r="H79" t="s">
        <v>87</v>
      </c>
      <c r="I79">
        <v>0</v>
      </c>
      <c r="J79" s="1">
        <v>1189</v>
      </c>
      <c r="K79" s="1" t="s">
        <v>12</v>
      </c>
      <c r="L79" s="34">
        <v>0.08</v>
      </c>
      <c r="M79" s="1">
        <f t="shared" si="11"/>
        <v>1323.7400000000002</v>
      </c>
      <c r="N79" s="1">
        <f t="shared" si="6"/>
        <v>1042</v>
      </c>
      <c r="O79" s="34">
        <v>0.15</v>
      </c>
      <c r="P79" s="1">
        <f t="shared" si="7"/>
        <v>1198</v>
      </c>
      <c r="Q79" s="34">
        <v>0.05</v>
      </c>
      <c r="R79" s="1">
        <f t="shared" si="8"/>
        <v>60</v>
      </c>
      <c r="S79" s="1">
        <f t="shared" si="9"/>
        <v>1138</v>
      </c>
      <c r="T79" s="1">
        <f t="shared" si="10"/>
        <v>1445</v>
      </c>
      <c r="U79" s="34">
        <v>0.1</v>
      </c>
      <c r="V79" s="34">
        <v>0.1</v>
      </c>
      <c r="W79" s="1">
        <v>0</v>
      </c>
      <c r="X79" s="1">
        <v>500</v>
      </c>
      <c r="Y79" s="1">
        <v>0</v>
      </c>
    </row>
    <row r="80" spans="1:25" x14ac:dyDescent="0.35">
      <c r="A80">
        <v>77.5</v>
      </c>
      <c r="B80" t="s">
        <v>211</v>
      </c>
      <c r="C80" s="160" t="s">
        <v>320</v>
      </c>
      <c r="D80" s="158" t="s">
        <v>392</v>
      </c>
      <c r="E80" s="22" t="s">
        <v>213</v>
      </c>
      <c r="F80" s="159">
        <v>44971</v>
      </c>
      <c r="G80" s="159" t="s">
        <v>176</v>
      </c>
      <c r="H80" t="s">
        <v>87</v>
      </c>
      <c r="I80">
        <v>1</v>
      </c>
      <c r="J80" s="1">
        <v>1605</v>
      </c>
      <c r="K80" s="1" t="s">
        <v>12</v>
      </c>
      <c r="L80" s="34">
        <v>0.08</v>
      </c>
      <c r="M80" s="1">
        <f t="shared" si="11"/>
        <v>1787.1700000000003</v>
      </c>
      <c r="N80" s="1">
        <f t="shared" si="6"/>
        <v>1407</v>
      </c>
      <c r="O80" s="34">
        <v>0.15</v>
      </c>
      <c r="P80" s="1">
        <f t="shared" si="7"/>
        <v>1618</v>
      </c>
      <c r="Q80" s="34">
        <v>0.05</v>
      </c>
      <c r="R80" s="1">
        <f t="shared" si="8"/>
        <v>81</v>
      </c>
      <c r="S80" s="1">
        <f t="shared" si="9"/>
        <v>1537</v>
      </c>
      <c r="T80" s="1">
        <f t="shared" si="10"/>
        <v>1952</v>
      </c>
      <c r="U80" s="34">
        <v>0.1</v>
      </c>
      <c r="V80" s="34">
        <v>0.1</v>
      </c>
      <c r="W80" s="1">
        <v>0</v>
      </c>
      <c r="X80" s="1">
        <v>500</v>
      </c>
      <c r="Y80" s="1">
        <v>0</v>
      </c>
    </row>
    <row r="81" spans="1:25" x14ac:dyDescent="0.35">
      <c r="A81">
        <v>78</v>
      </c>
      <c r="B81" t="s">
        <v>211</v>
      </c>
      <c r="C81" s="160" t="s">
        <v>516</v>
      </c>
      <c r="D81" s="158" t="s">
        <v>517</v>
      </c>
      <c r="H81" t="s">
        <v>87</v>
      </c>
      <c r="I81">
        <v>0</v>
      </c>
      <c r="J81" s="1">
        <v>1120</v>
      </c>
      <c r="K81" s="1" t="s">
        <v>12</v>
      </c>
      <c r="L81" s="34">
        <v>0.08</v>
      </c>
      <c r="M81" s="1">
        <f t="shared" si="11"/>
        <v>1246.3000000000002</v>
      </c>
      <c r="N81" s="1">
        <f t="shared" si="6"/>
        <v>981</v>
      </c>
      <c r="O81" s="34">
        <v>0.15</v>
      </c>
      <c r="P81" s="1">
        <f t="shared" si="7"/>
        <v>1128</v>
      </c>
      <c r="Q81" s="34">
        <v>0.05</v>
      </c>
      <c r="R81" s="1">
        <f t="shared" si="8"/>
        <v>56</v>
      </c>
      <c r="S81" s="1">
        <f t="shared" si="9"/>
        <v>1072</v>
      </c>
      <c r="T81" s="1">
        <f t="shared" si="10"/>
        <v>1361</v>
      </c>
      <c r="U81" s="34">
        <v>0.1</v>
      </c>
      <c r="V81" s="34">
        <v>0.1</v>
      </c>
      <c r="W81" s="1">
        <v>0</v>
      </c>
      <c r="X81" s="1">
        <v>500</v>
      </c>
      <c r="Y81" s="1">
        <v>0</v>
      </c>
    </row>
    <row r="82" spans="1:25" x14ac:dyDescent="0.35">
      <c r="A82">
        <v>79</v>
      </c>
      <c r="B82" t="s">
        <v>211</v>
      </c>
      <c r="C82" s="160" t="s">
        <v>518</v>
      </c>
      <c r="H82" t="s">
        <v>87</v>
      </c>
      <c r="I82">
        <v>0</v>
      </c>
      <c r="J82" s="27">
        <v>2000</v>
      </c>
      <c r="K82" s="1" t="s">
        <v>12</v>
      </c>
      <c r="L82" s="34">
        <v>0.08</v>
      </c>
      <c r="M82" s="1">
        <f t="shared" si="11"/>
        <v>2226.4000000000005</v>
      </c>
      <c r="N82" s="1">
        <f t="shared" si="6"/>
        <v>1753</v>
      </c>
      <c r="O82" s="34">
        <v>0.15</v>
      </c>
      <c r="P82" s="1">
        <f t="shared" si="7"/>
        <v>2016</v>
      </c>
      <c r="Q82" s="34">
        <v>0.05</v>
      </c>
      <c r="R82" s="1">
        <f t="shared" si="8"/>
        <v>101</v>
      </c>
      <c r="S82" s="1">
        <f t="shared" si="9"/>
        <v>1915</v>
      </c>
      <c r="T82" s="1">
        <f t="shared" si="10"/>
        <v>2432</v>
      </c>
      <c r="U82" s="34">
        <v>0.1</v>
      </c>
      <c r="V82" s="34">
        <v>0.1</v>
      </c>
      <c r="W82" s="1">
        <v>0</v>
      </c>
      <c r="X82" s="1">
        <v>500</v>
      </c>
      <c r="Y82" s="1">
        <v>0</v>
      </c>
    </row>
    <row r="83" spans="1:25" x14ac:dyDescent="0.35">
      <c r="A83">
        <v>80</v>
      </c>
      <c r="B83" t="s">
        <v>216</v>
      </c>
      <c r="C83" s="160" t="s">
        <v>519</v>
      </c>
      <c r="H83" t="s">
        <v>439</v>
      </c>
      <c r="I83">
        <v>1</v>
      </c>
      <c r="J83" s="27">
        <v>40000</v>
      </c>
      <c r="K83" s="1" t="s">
        <v>12</v>
      </c>
      <c r="L83" s="34">
        <v>0</v>
      </c>
      <c r="M83" s="1">
        <f t="shared" si="11"/>
        <v>48400.000000000007</v>
      </c>
      <c r="N83" s="1">
        <f t="shared" si="6"/>
        <v>38110</v>
      </c>
      <c r="O83" s="34">
        <v>0.15</v>
      </c>
      <c r="P83" s="1">
        <f t="shared" si="7"/>
        <v>43827</v>
      </c>
      <c r="Q83" s="34">
        <v>0.05</v>
      </c>
      <c r="R83" s="1">
        <f t="shared" si="8"/>
        <v>2191</v>
      </c>
      <c r="S83" s="1">
        <f t="shared" si="9"/>
        <v>41636</v>
      </c>
      <c r="T83" s="1">
        <f t="shared" si="10"/>
        <v>52878</v>
      </c>
      <c r="U83" s="34">
        <v>0.1</v>
      </c>
      <c r="V83" s="34">
        <v>0.1</v>
      </c>
      <c r="W83" s="1">
        <v>0</v>
      </c>
      <c r="X83" s="1">
        <v>10000</v>
      </c>
      <c r="Y83" s="1">
        <v>0</v>
      </c>
    </row>
    <row r="84" spans="1:25" x14ac:dyDescent="0.35">
      <c r="A84">
        <v>81</v>
      </c>
      <c r="B84" t="s">
        <v>216</v>
      </c>
      <c r="C84" s="160" t="s">
        <v>217</v>
      </c>
      <c r="G84" s="159" t="s">
        <v>176</v>
      </c>
      <c r="I84">
        <v>1</v>
      </c>
      <c r="J84" s="27">
        <v>10000</v>
      </c>
      <c r="K84" s="1" t="s">
        <v>12</v>
      </c>
      <c r="L84" s="34">
        <v>0.08</v>
      </c>
      <c r="M84" s="1">
        <f t="shared" si="11"/>
        <v>11132</v>
      </c>
      <c r="N84" s="1">
        <f t="shared" si="6"/>
        <v>8765</v>
      </c>
      <c r="O84" s="34">
        <v>0.15</v>
      </c>
      <c r="P84" s="1">
        <f t="shared" si="7"/>
        <v>10080</v>
      </c>
      <c r="Q84" s="34">
        <v>0.05</v>
      </c>
      <c r="R84" s="1">
        <f t="shared" si="8"/>
        <v>504</v>
      </c>
      <c r="S84" s="1">
        <f t="shared" si="9"/>
        <v>9576</v>
      </c>
      <c r="T84" s="1">
        <f t="shared" si="10"/>
        <v>12162</v>
      </c>
      <c r="U84" s="34">
        <v>0.1</v>
      </c>
      <c r="V84" s="34">
        <v>0.1</v>
      </c>
      <c r="W84" s="1">
        <v>500</v>
      </c>
      <c r="X84" s="1">
        <v>10000</v>
      </c>
      <c r="Y84" s="1">
        <v>0</v>
      </c>
    </row>
    <row r="85" spans="1:25" x14ac:dyDescent="0.35">
      <c r="A85">
        <v>82</v>
      </c>
      <c r="B85" t="s">
        <v>218</v>
      </c>
      <c r="C85" s="160" t="s">
        <v>520</v>
      </c>
      <c r="D85" s="158" t="s">
        <v>521</v>
      </c>
      <c r="E85" s="22" t="s">
        <v>221</v>
      </c>
      <c r="F85" s="159">
        <v>44970</v>
      </c>
      <c r="G85" s="159"/>
      <c r="H85" t="s">
        <v>87</v>
      </c>
      <c r="I85">
        <v>0</v>
      </c>
      <c r="J85" s="1">
        <v>68.58</v>
      </c>
      <c r="K85" s="1" t="s">
        <v>17</v>
      </c>
      <c r="L85" s="34">
        <v>0.08</v>
      </c>
      <c r="M85" s="1">
        <f t="shared" si="11"/>
        <v>76.230000000000018</v>
      </c>
      <c r="N85" s="1">
        <f t="shared" si="6"/>
        <v>60</v>
      </c>
      <c r="O85" s="34">
        <v>0.15</v>
      </c>
      <c r="P85" s="1">
        <f t="shared" si="7"/>
        <v>69</v>
      </c>
      <c r="Q85" s="34">
        <v>0.05</v>
      </c>
      <c r="R85" s="1">
        <f t="shared" si="8"/>
        <v>3</v>
      </c>
      <c r="S85" s="1">
        <f t="shared" si="9"/>
        <v>66</v>
      </c>
      <c r="T85" s="1">
        <f t="shared" si="10"/>
        <v>84</v>
      </c>
      <c r="U85" s="34">
        <v>0.1</v>
      </c>
      <c r="V85" s="34">
        <v>0.1</v>
      </c>
      <c r="W85" s="1">
        <v>100</v>
      </c>
      <c r="X85" s="1">
        <v>500</v>
      </c>
      <c r="Y85" s="1">
        <v>1000</v>
      </c>
    </row>
    <row r="86" spans="1:25" x14ac:dyDescent="0.35">
      <c r="A86">
        <v>83</v>
      </c>
      <c r="B86" t="s">
        <v>218</v>
      </c>
      <c r="C86" s="160" t="s">
        <v>522</v>
      </c>
      <c r="D86" s="158" t="s">
        <v>523</v>
      </c>
      <c r="E86" s="22" t="s">
        <v>221</v>
      </c>
      <c r="F86" s="159">
        <v>44970</v>
      </c>
      <c r="G86" s="159"/>
      <c r="H86" t="s">
        <v>87</v>
      </c>
      <c r="I86">
        <v>0</v>
      </c>
      <c r="J86" s="1">
        <v>78.739999999999995</v>
      </c>
      <c r="K86" s="1" t="s">
        <v>17</v>
      </c>
      <c r="L86" s="34">
        <v>0.08</v>
      </c>
      <c r="M86" s="1">
        <f t="shared" si="11"/>
        <v>87.12</v>
      </c>
      <c r="N86" s="1">
        <f t="shared" si="6"/>
        <v>69</v>
      </c>
      <c r="O86" s="34">
        <v>0.15</v>
      </c>
      <c r="P86" s="1">
        <f t="shared" si="7"/>
        <v>79</v>
      </c>
      <c r="Q86" s="34">
        <v>0.05</v>
      </c>
      <c r="R86" s="1">
        <f t="shared" si="8"/>
        <v>4</v>
      </c>
      <c r="S86" s="1">
        <f t="shared" si="9"/>
        <v>75</v>
      </c>
      <c r="T86" s="1">
        <f t="shared" si="10"/>
        <v>95</v>
      </c>
      <c r="U86" s="34">
        <v>0.1</v>
      </c>
      <c r="V86" s="34">
        <v>0.1</v>
      </c>
      <c r="W86" s="1">
        <v>100</v>
      </c>
      <c r="X86" s="1">
        <v>500</v>
      </c>
      <c r="Y86" s="1">
        <v>1200</v>
      </c>
    </row>
    <row r="87" spans="1:25" x14ac:dyDescent="0.35">
      <c r="A87">
        <v>84</v>
      </c>
      <c r="B87" t="s">
        <v>218</v>
      </c>
      <c r="C87" s="160" t="s">
        <v>524</v>
      </c>
      <c r="D87" s="158" t="s">
        <v>525</v>
      </c>
      <c r="E87" s="22" t="s">
        <v>221</v>
      </c>
      <c r="F87" s="159">
        <v>44970</v>
      </c>
      <c r="G87" s="159"/>
      <c r="H87" t="s">
        <v>87</v>
      </c>
      <c r="I87">
        <v>0</v>
      </c>
      <c r="J87" s="1">
        <v>106.68</v>
      </c>
      <c r="K87" s="1" t="s">
        <v>17</v>
      </c>
      <c r="L87" s="34">
        <v>0.08</v>
      </c>
      <c r="M87" s="1">
        <f t="shared" si="11"/>
        <v>118.58000000000003</v>
      </c>
      <c r="N87" s="1">
        <f t="shared" si="6"/>
        <v>93</v>
      </c>
      <c r="O87" s="34">
        <v>0.15</v>
      </c>
      <c r="P87" s="1">
        <f t="shared" si="7"/>
        <v>107</v>
      </c>
      <c r="Q87" s="34">
        <v>0.05</v>
      </c>
      <c r="R87" s="1">
        <f t="shared" si="8"/>
        <v>5</v>
      </c>
      <c r="S87" s="1">
        <f t="shared" si="9"/>
        <v>102</v>
      </c>
      <c r="T87" s="1">
        <f t="shared" si="10"/>
        <v>130</v>
      </c>
      <c r="U87" s="34">
        <v>0.1</v>
      </c>
      <c r="V87" s="34">
        <v>0.1</v>
      </c>
      <c r="W87" s="1">
        <v>100</v>
      </c>
      <c r="X87" s="1">
        <v>500</v>
      </c>
      <c r="Y87" s="1">
        <v>1400</v>
      </c>
    </row>
    <row r="88" spans="1:25" x14ac:dyDescent="0.35">
      <c r="A88">
        <v>85</v>
      </c>
      <c r="B88" t="s">
        <v>218</v>
      </c>
      <c r="C88" s="18" t="s">
        <v>219</v>
      </c>
      <c r="D88" s="158" t="s">
        <v>220</v>
      </c>
      <c r="E88" s="22" t="s">
        <v>221</v>
      </c>
      <c r="F88" s="159">
        <v>44971</v>
      </c>
      <c r="G88" s="159" t="s">
        <v>162</v>
      </c>
      <c r="H88" t="s">
        <v>87</v>
      </c>
      <c r="I88">
        <v>1</v>
      </c>
      <c r="J88" s="1">
        <v>227.33</v>
      </c>
      <c r="K88" s="1" t="s">
        <v>17</v>
      </c>
      <c r="L88" s="34">
        <v>0.08</v>
      </c>
      <c r="M88" s="1">
        <f t="shared" si="11"/>
        <v>252.89000000000001</v>
      </c>
      <c r="N88" s="1">
        <f t="shared" si="6"/>
        <v>199</v>
      </c>
      <c r="O88" s="34">
        <v>0.15</v>
      </c>
      <c r="P88" s="1">
        <f t="shared" si="7"/>
        <v>229</v>
      </c>
      <c r="Q88" s="34">
        <v>0.05</v>
      </c>
      <c r="R88" s="1">
        <f t="shared" si="8"/>
        <v>11</v>
      </c>
      <c r="S88" s="1">
        <f t="shared" si="9"/>
        <v>218</v>
      </c>
      <c r="T88" s="1">
        <f t="shared" si="10"/>
        <v>277</v>
      </c>
      <c r="U88" s="34">
        <v>0.1</v>
      </c>
      <c r="V88" s="34">
        <v>0.1</v>
      </c>
      <c r="W88" s="1">
        <v>100</v>
      </c>
      <c r="X88" s="1">
        <v>500</v>
      </c>
      <c r="Y88" s="1">
        <v>1600</v>
      </c>
    </row>
    <row r="89" spans="1:25" x14ac:dyDescent="0.35">
      <c r="A89">
        <v>86</v>
      </c>
      <c r="B89" t="s">
        <v>218</v>
      </c>
      <c r="C89" s="160" t="s">
        <v>526</v>
      </c>
      <c r="D89" s="158" t="s">
        <v>527</v>
      </c>
      <c r="E89" s="22" t="s">
        <v>221</v>
      </c>
      <c r="F89" s="159">
        <v>44970</v>
      </c>
      <c r="G89" s="159"/>
      <c r="H89" t="s">
        <v>87</v>
      </c>
      <c r="I89">
        <v>0</v>
      </c>
      <c r="J89" s="1">
        <v>218</v>
      </c>
      <c r="K89" s="1" t="s">
        <v>17</v>
      </c>
      <c r="L89" s="34">
        <v>0.08</v>
      </c>
      <c r="M89" s="1">
        <f t="shared" si="11"/>
        <v>243.21000000000004</v>
      </c>
      <c r="N89" s="1">
        <f t="shared" si="6"/>
        <v>192</v>
      </c>
      <c r="O89" s="34">
        <v>0.15</v>
      </c>
      <c r="P89" s="1">
        <f t="shared" si="7"/>
        <v>221</v>
      </c>
      <c r="Q89" s="34">
        <v>0.05</v>
      </c>
      <c r="R89" s="1">
        <f t="shared" si="8"/>
        <v>11</v>
      </c>
      <c r="S89" s="1">
        <f t="shared" si="9"/>
        <v>210</v>
      </c>
      <c r="T89" s="1">
        <f t="shared" si="10"/>
        <v>267</v>
      </c>
      <c r="U89" s="34">
        <v>0.1</v>
      </c>
      <c r="V89" s="34">
        <v>0.1</v>
      </c>
      <c r="W89" s="1">
        <v>100</v>
      </c>
      <c r="X89" s="1">
        <v>500</v>
      </c>
      <c r="Y89" s="1">
        <v>1800</v>
      </c>
    </row>
    <row r="90" spans="1:25" x14ac:dyDescent="0.35">
      <c r="A90">
        <v>87</v>
      </c>
      <c r="B90" t="s">
        <v>222</v>
      </c>
      <c r="C90" s="160" t="s">
        <v>394</v>
      </c>
      <c r="D90" s="158" t="s">
        <v>395</v>
      </c>
      <c r="E90" s="22" t="s">
        <v>396</v>
      </c>
      <c r="F90" s="159">
        <v>44971</v>
      </c>
      <c r="G90" s="159" t="s">
        <v>176</v>
      </c>
      <c r="H90" t="s">
        <v>397</v>
      </c>
      <c r="I90">
        <v>1</v>
      </c>
      <c r="J90" s="27">
        <v>37000</v>
      </c>
      <c r="K90" s="1" t="s">
        <v>12</v>
      </c>
      <c r="L90" s="34">
        <v>0</v>
      </c>
      <c r="M90" s="1">
        <f t="shared" si="11"/>
        <v>44770</v>
      </c>
      <c r="N90" s="1">
        <f t="shared" si="6"/>
        <v>35252</v>
      </c>
      <c r="O90" s="34">
        <v>0.15</v>
      </c>
      <c r="P90" s="1">
        <f t="shared" si="7"/>
        <v>40540</v>
      </c>
      <c r="Q90" s="34">
        <v>0.05</v>
      </c>
      <c r="R90" s="1">
        <f t="shared" si="8"/>
        <v>2027</v>
      </c>
      <c r="S90" s="1">
        <f t="shared" si="9"/>
        <v>38513</v>
      </c>
      <c r="T90" s="1">
        <f t="shared" si="10"/>
        <v>48912</v>
      </c>
      <c r="U90" s="34">
        <v>0.1</v>
      </c>
      <c r="V90" s="34">
        <v>0.1</v>
      </c>
      <c r="W90" s="1">
        <v>0</v>
      </c>
      <c r="X90" s="1">
        <v>10000</v>
      </c>
      <c r="Y90" s="1">
        <v>0</v>
      </c>
    </row>
    <row r="91" spans="1:25" x14ac:dyDescent="0.35">
      <c r="A91">
        <v>88</v>
      </c>
      <c r="B91" t="s">
        <v>222</v>
      </c>
      <c r="C91" s="18" t="s">
        <v>223</v>
      </c>
      <c r="D91" s="158" t="s">
        <v>224</v>
      </c>
      <c r="E91" s="22" t="s">
        <v>225</v>
      </c>
      <c r="F91" s="159">
        <v>44971</v>
      </c>
      <c r="G91" s="159" t="s">
        <v>176</v>
      </c>
      <c r="H91" t="s">
        <v>87</v>
      </c>
      <c r="I91">
        <v>1</v>
      </c>
      <c r="J91" s="1">
        <v>9180</v>
      </c>
      <c r="K91" s="1" t="s">
        <v>12</v>
      </c>
      <c r="L91" s="34">
        <v>0.08</v>
      </c>
      <c r="M91" s="1">
        <f t="shared" si="11"/>
        <v>10219.660000000002</v>
      </c>
      <c r="N91" s="1">
        <f t="shared" si="6"/>
        <v>8047</v>
      </c>
      <c r="O91" s="34">
        <v>0.15</v>
      </c>
      <c r="P91" s="1">
        <f t="shared" si="7"/>
        <v>9254</v>
      </c>
      <c r="Q91" s="34">
        <v>0.05</v>
      </c>
      <c r="R91" s="1">
        <f t="shared" si="8"/>
        <v>463</v>
      </c>
      <c r="S91" s="1">
        <f t="shared" si="9"/>
        <v>8791</v>
      </c>
      <c r="T91" s="1">
        <f t="shared" si="10"/>
        <v>11165</v>
      </c>
      <c r="U91" s="34">
        <v>0.1</v>
      </c>
      <c r="V91" s="34">
        <v>0.1</v>
      </c>
      <c r="W91" s="1">
        <v>0</v>
      </c>
      <c r="X91" s="1">
        <v>5000</v>
      </c>
      <c r="Y91" s="1">
        <v>0</v>
      </c>
    </row>
    <row r="92" spans="1:25" x14ac:dyDescent="0.35">
      <c r="A92">
        <v>89</v>
      </c>
      <c r="B92" t="s">
        <v>222</v>
      </c>
      <c r="C92" s="160" t="s">
        <v>528</v>
      </c>
      <c r="D92" s="158" t="s">
        <v>529</v>
      </c>
      <c r="F92" s="159"/>
      <c r="H92" t="s">
        <v>87</v>
      </c>
      <c r="I92">
        <v>0</v>
      </c>
      <c r="J92" s="1">
        <v>15302</v>
      </c>
      <c r="K92" s="1" t="s">
        <v>12</v>
      </c>
      <c r="L92" s="34">
        <v>0.08</v>
      </c>
      <c r="M92" s="1">
        <f t="shared" si="11"/>
        <v>17034.38</v>
      </c>
      <c r="N92" s="1">
        <f t="shared" si="6"/>
        <v>13413</v>
      </c>
      <c r="O92" s="34">
        <v>0.15</v>
      </c>
      <c r="P92" s="1">
        <f t="shared" si="7"/>
        <v>15425</v>
      </c>
      <c r="Q92" s="34">
        <v>0.05</v>
      </c>
      <c r="R92" s="1">
        <f t="shared" si="8"/>
        <v>771</v>
      </c>
      <c r="S92" s="1">
        <f t="shared" si="9"/>
        <v>14654</v>
      </c>
      <c r="T92" s="1">
        <f t="shared" si="10"/>
        <v>18611</v>
      </c>
      <c r="U92" s="34">
        <v>0.1</v>
      </c>
      <c r="V92" s="34">
        <v>0.1</v>
      </c>
      <c r="W92" s="1">
        <v>0</v>
      </c>
      <c r="X92" s="1">
        <v>10000</v>
      </c>
      <c r="Y92" s="1">
        <v>0</v>
      </c>
    </row>
    <row r="93" spans="1:25" x14ac:dyDescent="0.35">
      <c r="A93">
        <v>90</v>
      </c>
      <c r="B93" t="s">
        <v>222</v>
      </c>
      <c r="C93" s="18" t="s">
        <v>226</v>
      </c>
      <c r="D93" s="158" t="s">
        <v>227</v>
      </c>
      <c r="E93" s="22" t="s">
        <v>225</v>
      </c>
      <c r="F93" s="159">
        <v>44971</v>
      </c>
      <c r="G93" s="159" t="s">
        <v>176</v>
      </c>
      <c r="H93" t="s">
        <v>87</v>
      </c>
      <c r="I93">
        <v>1</v>
      </c>
      <c r="J93" s="1">
        <v>15467</v>
      </c>
      <c r="K93" s="1" t="s">
        <v>12</v>
      </c>
      <c r="L93" s="34">
        <v>0</v>
      </c>
      <c r="M93" s="1">
        <f t="shared" si="11"/>
        <v>18715.070000000003</v>
      </c>
      <c r="N93" s="1">
        <f t="shared" si="6"/>
        <v>14736</v>
      </c>
      <c r="O93" s="34">
        <v>0.15</v>
      </c>
      <c r="P93" s="1">
        <f t="shared" si="7"/>
        <v>16946</v>
      </c>
      <c r="Q93" s="34">
        <v>0.05</v>
      </c>
      <c r="R93" s="1">
        <f t="shared" si="8"/>
        <v>847</v>
      </c>
      <c r="S93" s="1">
        <f t="shared" si="9"/>
        <v>16099</v>
      </c>
      <c r="T93" s="1">
        <f t="shared" si="10"/>
        <v>20446</v>
      </c>
      <c r="U93" s="34">
        <v>0.1</v>
      </c>
      <c r="V93" s="34">
        <v>0.1</v>
      </c>
      <c r="W93" s="1">
        <v>0</v>
      </c>
      <c r="X93" s="1">
        <v>10000</v>
      </c>
      <c r="Y93" s="1">
        <v>0</v>
      </c>
    </row>
    <row r="94" spans="1:25" x14ac:dyDescent="0.35">
      <c r="A94">
        <v>91</v>
      </c>
      <c r="B94" t="s">
        <v>222</v>
      </c>
      <c r="C94" s="160" t="s">
        <v>322</v>
      </c>
      <c r="D94" s="158" t="s">
        <v>398</v>
      </c>
      <c r="E94" s="22" t="s">
        <v>225</v>
      </c>
      <c r="F94" s="159">
        <v>44971</v>
      </c>
      <c r="G94" s="159" t="s">
        <v>176</v>
      </c>
      <c r="H94" t="s">
        <v>87</v>
      </c>
      <c r="I94">
        <v>1</v>
      </c>
      <c r="J94" s="1">
        <v>12227</v>
      </c>
      <c r="K94" s="1" t="s">
        <v>12</v>
      </c>
      <c r="L94" s="34">
        <v>0</v>
      </c>
      <c r="M94" s="1">
        <f t="shared" si="11"/>
        <v>14794.670000000002</v>
      </c>
      <c r="N94" s="1">
        <f t="shared" si="6"/>
        <v>11649</v>
      </c>
      <c r="O94" s="34">
        <v>0.15</v>
      </c>
      <c r="P94" s="1">
        <f t="shared" si="7"/>
        <v>13396</v>
      </c>
      <c r="Q94" s="34">
        <v>0.05</v>
      </c>
      <c r="R94" s="1">
        <f t="shared" si="8"/>
        <v>670</v>
      </c>
      <c r="S94" s="1">
        <f t="shared" si="9"/>
        <v>12726</v>
      </c>
      <c r="T94" s="1">
        <f t="shared" si="10"/>
        <v>16162</v>
      </c>
      <c r="U94" s="34">
        <v>0.1</v>
      </c>
      <c r="V94" s="34">
        <v>0.1</v>
      </c>
      <c r="W94" s="1">
        <v>0</v>
      </c>
      <c r="X94" s="1">
        <v>10000</v>
      </c>
      <c r="Y94" s="1">
        <v>0</v>
      </c>
    </row>
    <row r="95" spans="1:25" x14ac:dyDescent="0.35">
      <c r="A95">
        <v>92</v>
      </c>
      <c r="B95" t="s">
        <v>222</v>
      </c>
      <c r="C95" s="160" t="s">
        <v>393</v>
      </c>
      <c r="D95" s="158" t="s">
        <v>399</v>
      </c>
      <c r="E95" s="22" t="s">
        <v>225</v>
      </c>
      <c r="F95" s="159">
        <v>44971</v>
      </c>
      <c r="G95" s="159" t="s">
        <v>176</v>
      </c>
      <c r="H95" t="s">
        <v>87</v>
      </c>
      <c r="I95">
        <v>1</v>
      </c>
      <c r="J95" s="1">
        <v>14300</v>
      </c>
      <c r="K95" s="1" t="s">
        <v>12</v>
      </c>
      <c r="L95" s="34">
        <v>0.08</v>
      </c>
      <c r="M95" s="1">
        <f t="shared" si="11"/>
        <v>15918.760000000002</v>
      </c>
      <c r="N95" s="1">
        <f t="shared" si="6"/>
        <v>12534</v>
      </c>
      <c r="O95" s="34">
        <v>0.15</v>
      </c>
      <c r="P95" s="1">
        <f t="shared" si="7"/>
        <v>14414</v>
      </c>
      <c r="Q95" s="34">
        <v>0.05</v>
      </c>
      <c r="R95" s="1">
        <f t="shared" si="8"/>
        <v>721</v>
      </c>
      <c r="S95" s="1">
        <f t="shared" si="9"/>
        <v>13693</v>
      </c>
      <c r="T95" s="1">
        <f t="shared" si="10"/>
        <v>17390</v>
      </c>
      <c r="U95" s="34">
        <v>0.1</v>
      </c>
      <c r="V95" s="34">
        <v>0.1</v>
      </c>
      <c r="W95" s="1">
        <v>0</v>
      </c>
      <c r="X95" s="1">
        <v>10000</v>
      </c>
      <c r="Y95" s="1">
        <v>0</v>
      </c>
    </row>
    <row r="96" spans="1:25" x14ac:dyDescent="0.35">
      <c r="A96">
        <v>93</v>
      </c>
      <c r="B96" t="s">
        <v>222</v>
      </c>
      <c r="C96" s="160" t="s">
        <v>323</v>
      </c>
      <c r="D96" s="158" t="s">
        <v>400</v>
      </c>
      <c r="E96" s="22" t="s">
        <v>225</v>
      </c>
      <c r="F96" s="159">
        <v>44971</v>
      </c>
      <c r="G96" s="159" t="s">
        <v>176</v>
      </c>
      <c r="H96" t="s">
        <v>87</v>
      </c>
      <c r="I96">
        <v>1</v>
      </c>
      <c r="J96" s="1">
        <v>17697</v>
      </c>
      <c r="K96" s="1" t="s">
        <v>12</v>
      </c>
      <c r="L96" s="34">
        <v>0.08</v>
      </c>
      <c r="M96" s="1">
        <f t="shared" si="11"/>
        <v>19700.010000000006</v>
      </c>
      <c r="N96" s="1">
        <f t="shared" si="6"/>
        <v>15512</v>
      </c>
      <c r="O96" s="34">
        <v>0.15</v>
      </c>
      <c r="P96" s="1">
        <f t="shared" si="7"/>
        <v>17839</v>
      </c>
      <c r="Q96" s="34">
        <v>0.05</v>
      </c>
      <c r="R96" s="1">
        <f t="shared" si="8"/>
        <v>892</v>
      </c>
      <c r="S96" s="1">
        <f t="shared" si="9"/>
        <v>16947</v>
      </c>
      <c r="T96" s="1">
        <f t="shared" si="10"/>
        <v>21523</v>
      </c>
      <c r="U96" s="34">
        <v>0.1</v>
      </c>
      <c r="V96" s="34">
        <v>0.1</v>
      </c>
      <c r="W96" s="1">
        <v>0</v>
      </c>
      <c r="X96" s="1">
        <v>10000</v>
      </c>
      <c r="Y96" s="1">
        <v>0</v>
      </c>
    </row>
    <row r="97" spans="1:25" x14ac:dyDescent="0.35">
      <c r="A97">
        <v>94</v>
      </c>
      <c r="B97" t="s">
        <v>228</v>
      </c>
      <c r="C97" s="18" t="s">
        <v>229</v>
      </c>
      <c r="D97" s="158" t="s">
        <v>230</v>
      </c>
      <c r="E97" s="22" t="s">
        <v>231</v>
      </c>
      <c r="F97" s="159">
        <v>44971</v>
      </c>
      <c r="G97" s="159" t="s">
        <v>176</v>
      </c>
      <c r="H97" t="s">
        <v>87</v>
      </c>
      <c r="I97">
        <v>1</v>
      </c>
      <c r="J97" s="1">
        <v>7049</v>
      </c>
      <c r="K97" s="1" t="s">
        <v>12</v>
      </c>
      <c r="L97" s="34">
        <v>0.08</v>
      </c>
      <c r="M97" s="1">
        <f t="shared" si="11"/>
        <v>7846.8500000000013</v>
      </c>
      <c r="N97" s="1">
        <f t="shared" si="6"/>
        <v>6179</v>
      </c>
      <c r="O97" s="34">
        <v>0.15</v>
      </c>
      <c r="P97" s="1">
        <f t="shared" si="7"/>
        <v>7106</v>
      </c>
      <c r="Q97" s="34">
        <v>0.05</v>
      </c>
      <c r="R97" s="1">
        <f t="shared" si="8"/>
        <v>355</v>
      </c>
      <c r="S97" s="1">
        <f t="shared" si="9"/>
        <v>6751</v>
      </c>
      <c r="T97" s="1">
        <f t="shared" si="10"/>
        <v>8574</v>
      </c>
      <c r="U97" s="34">
        <v>0.1</v>
      </c>
      <c r="V97" s="34">
        <v>0.1</v>
      </c>
      <c r="W97" s="1">
        <v>5000</v>
      </c>
      <c r="X97" s="1">
        <v>20000</v>
      </c>
      <c r="Y97" s="1">
        <v>0</v>
      </c>
    </row>
    <row r="98" spans="1:25" x14ac:dyDescent="0.35">
      <c r="A98">
        <v>94.5</v>
      </c>
      <c r="B98" t="s">
        <v>228</v>
      </c>
      <c r="C98" s="18" t="s">
        <v>530</v>
      </c>
      <c r="D98" s="158" t="s">
        <v>531</v>
      </c>
      <c r="E98" s="22" t="s">
        <v>231</v>
      </c>
      <c r="F98" s="159">
        <v>44971</v>
      </c>
      <c r="G98" s="159" t="s">
        <v>176</v>
      </c>
      <c r="H98" t="s">
        <v>87</v>
      </c>
      <c r="I98">
        <v>1</v>
      </c>
      <c r="J98" s="1">
        <v>635</v>
      </c>
      <c r="K98" s="1" t="s">
        <v>12</v>
      </c>
      <c r="L98" s="34">
        <v>0.08</v>
      </c>
      <c r="M98" s="1">
        <f t="shared" si="11"/>
        <v>706.64000000000021</v>
      </c>
      <c r="N98" s="1">
        <f t="shared" si="6"/>
        <v>556</v>
      </c>
      <c r="O98" s="34">
        <v>0.15</v>
      </c>
      <c r="P98" s="1">
        <f t="shared" si="7"/>
        <v>639</v>
      </c>
      <c r="Q98" s="34">
        <v>0.05</v>
      </c>
      <c r="R98" s="1">
        <f t="shared" si="8"/>
        <v>32</v>
      </c>
      <c r="S98" s="1">
        <f t="shared" si="9"/>
        <v>607</v>
      </c>
      <c r="T98" s="1">
        <f t="shared" si="10"/>
        <v>771</v>
      </c>
      <c r="U98" s="34">
        <v>0.1</v>
      </c>
      <c r="V98" s="34">
        <v>0.1</v>
      </c>
      <c r="W98" s="1">
        <v>5000</v>
      </c>
      <c r="X98" s="1">
        <v>20000</v>
      </c>
      <c r="Y98" s="1">
        <v>0</v>
      </c>
    </row>
    <row r="99" spans="1:25" x14ac:dyDescent="0.35">
      <c r="A99">
        <v>95</v>
      </c>
      <c r="B99" t="s">
        <v>532</v>
      </c>
      <c r="C99" s="160" t="s">
        <v>533</v>
      </c>
      <c r="D99" s="158" t="s">
        <v>534</v>
      </c>
      <c r="H99" t="s">
        <v>87</v>
      </c>
      <c r="I99">
        <v>0</v>
      </c>
      <c r="J99" s="1">
        <v>936</v>
      </c>
      <c r="K99" s="1" t="s">
        <v>12</v>
      </c>
      <c r="L99" s="34">
        <v>0.08</v>
      </c>
      <c r="M99" s="1">
        <f t="shared" si="11"/>
        <v>1041.8100000000002</v>
      </c>
      <c r="N99" s="1">
        <f t="shared" si="6"/>
        <v>820</v>
      </c>
      <c r="O99" s="34">
        <v>0.15</v>
      </c>
      <c r="P99" s="1">
        <f t="shared" si="7"/>
        <v>943</v>
      </c>
      <c r="Q99" s="34">
        <v>0.05</v>
      </c>
      <c r="R99" s="1">
        <f t="shared" si="8"/>
        <v>47</v>
      </c>
      <c r="S99" s="1">
        <f t="shared" si="9"/>
        <v>896</v>
      </c>
      <c r="T99" s="1">
        <f t="shared" si="10"/>
        <v>1138</v>
      </c>
      <c r="U99" s="34">
        <v>0.1</v>
      </c>
      <c r="V99" s="34">
        <v>0.1</v>
      </c>
      <c r="W99" s="1">
        <v>0</v>
      </c>
      <c r="X99" s="1">
        <v>500</v>
      </c>
      <c r="Y99" s="1">
        <v>0</v>
      </c>
    </row>
    <row r="100" spans="1:25" x14ac:dyDescent="0.35">
      <c r="A100">
        <v>96</v>
      </c>
      <c r="B100" t="s">
        <v>532</v>
      </c>
      <c r="C100" s="160" t="s">
        <v>535</v>
      </c>
      <c r="D100" s="158" t="s">
        <v>536</v>
      </c>
      <c r="H100" t="s">
        <v>87</v>
      </c>
      <c r="I100">
        <v>0</v>
      </c>
      <c r="J100" s="1">
        <f>936*3+704</f>
        <v>3512</v>
      </c>
      <c r="K100" s="1" t="s">
        <v>12</v>
      </c>
      <c r="L100" s="34">
        <v>0.08</v>
      </c>
      <c r="M100" s="1">
        <f t="shared" si="11"/>
        <v>3909.5100000000007</v>
      </c>
      <c r="N100" s="1">
        <f t="shared" si="6"/>
        <v>3078</v>
      </c>
      <c r="O100" s="34">
        <v>0.15</v>
      </c>
      <c r="P100" s="1">
        <f t="shared" si="7"/>
        <v>3540</v>
      </c>
      <c r="Q100" s="34">
        <v>0.05</v>
      </c>
      <c r="R100" s="1">
        <f t="shared" si="8"/>
        <v>177</v>
      </c>
      <c r="S100" s="1">
        <f t="shared" si="9"/>
        <v>3363</v>
      </c>
      <c r="T100" s="1">
        <f t="shared" si="10"/>
        <v>4271</v>
      </c>
      <c r="U100" s="34">
        <v>0.1</v>
      </c>
      <c r="V100" s="34">
        <v>0.1</v>
      </c>
      <c r="W100" s="1">
        <v>0</v>
      </c>
      <c r="X100" s="1">
        <v>700</v>
      </c>
      <c r="Y100" s="1">
        <v>0</v>
      </c>
    </row>
    <row r="101" spans="1:25" x14ac:dyDescent="0.35">
      <c r="A101">
        <v>97</v>
      </c>
      <c r="B101" t="s">
        <v>532</v>
      </c>
      <c r="C101" s="160" t="s">
        <v>537</v>
      </c>
      <c r="D101" s="158" t="s">
        <v>538</v>
      </c>
      <c r="H101" t="s">
        <v>87</v>
      </c>
      <c r="I101">
        <v>0</v>
      </c>
      <c r="J101" s="1">
        <f>936*5+1224</f>
        <v>5904</v>
      </c>
      <c r="K101" s="1" t="s">
        <v>12</v>
      </c>
      <c r="L101" s="34">
        <v>0.08</v>
      </c>
      <c r="M101" s="1">
        <f t="shared" si="11"/>
        <v>6572.7200000000012</v>
      </c>
      <c r="N101" s="1">
        <f t="shared" si="6"/>
        <v>5175</v>
      </c>
      <c r="O101" s="34">
        <v>0.15</v>
      </c>
      <c r="P101" s="1">
        <f t="shared" si="7"/>
        <v>5951</v>
      </c>
      <c r="Q101" s="34">
        <v>0.05</v>
      </c>
      <c r="R101" s="1">
        <f t="shared" si="8"/>
        <v>298</v>
      </c>
      <c r="S101" s="1">
        <f t="shared" si="9"/>
        <v>5653</v>
      </c>
      <c r="T101" s="1">
        <f t="shared" si="10"/>
        <v>7179</v>
      </c>
      <c r="U101" s="34">
        <v>0.1</v>
      </c>
      <c r="V101" s="34">
        <v>0.1</v>
      </c>
      <c r="W101" s="1">
        <v>0</v>
      </c>
      <c r="X101" s="1">
        <v>900</v>
      </c>
      <c r="Y101" s="1">
        <v>0</v>
      </c>
    </row>
    <row r="102" spans="1:25" x14ac:dyDescent="0.35">
      <c r="A102">
        <v>98</v>
      </c>
      <c r="B102" t="s">
        <v>532</v>
      </c>
      <c r="C102" s="160" t="s">
        <v>539</v>
      </c>
      <c r="D102" s="158" t="s">
        <v>540</v>
      </c>
      <c r="H102" t="s">
        <v>87</v>
      </c>
      <c r="I102">
        <v>0</v>
      </c>
      <c r="J102" s="1">
        <v>949</v>
      </c>
      <c r="K102" s="1" t="s">
        <v>12</v>
      </c>
      <c r="L102" s="34">
        <v>0.08</v>
      </c>
      <c r="M102" s="1">
        <f t="shared" si="11"/>
        <v>1056.3300000000002</v>
      </c>
      <c r="N102" s="1">
        <f t="shared" si="6"/>
        <v>832</v>
      </c>
      <c r="O102" s="34">
        <v>0.15</v>
      </c>
      <c r="P102" s="1">
        <f t="shared" si="7"/>
        <v>957</v>
      </c>
      <c r="Q102" s="34">
        <v>0.05</v>
      </c>
      <c r="R102" s="1">
        <f t="shared" si="8"/>
        <v>48</v>
      </c>
      <c r="S102" s="1">
        <f t="shared" si="9"/>
        <v>909</v>
      </c>
      <c r="T102" s="1">
        <f t="shared" si="10"/>
        <v>1154</v>
      </c>
      <c r="U102" s="34">
        <v>0.1</v>
      </c>
      <c r="V102" s="34">
        <v>0.1</v>
      </c>
      <c r="W102" s="1">
        <v>0</v>
      </c>
      <c r="X102" s="1">
        <v>500</v>
      </c>
      <c r="Y102" s="1">
        <v>0</v>
      </c>
    </row>
    <row r="103" spans="1:25" x14ac:dyDescent="0.35">
      <c r="A103">
        <v>99</v>
      </c>
      <c r="B103" t="s">
        <v>532</v>
      </c>
      <c r="C103" s="160" t="s">
        <v>541</v>
      </c>
      <c r="D103" s="158" t="s">
        <v>542</v>
      </c>
      <c r="H103" t="s">
        <v>87</v>
      </c>
      <c r="I103">
        <v>0</v>
      </c>
      <c r="J103" s="1">
        <v>1468</v>
      </c>
      <c r="K103" s="1" t="s">
        <v>12</v>
      </c>
      <c r="L103" s="34">
        <v>0.08</v>
      </c>
      <c r="M103" s="1">
        <f t="shared" si="11"/>
        <v>1634.7100000000003</v>
      </c>
      <c r="N103" s="1">
        <f t="shared" si="6"/>
        <v>1287</v>
      </c>
      <c r="O103" s="34">
        <v>0.15</v>
      </c>
      <c r="P103" s="1">
        <f t="shared" si="7"/>
        <v>1480</v>
      </c>
      <c r="Q103" s="34">
        <v>0.05</v>
      </c>
      <c r="R103" s="1">
        <f t="shared" si="8"/>
        <v>74</v>
      </c>
      <c r="S103" s="1">
        <f t="shared" si="9"/>
        <v>1406</v>
      </c>
      <c r="T103" s="1">
        <f t="shared" si="10"/>
        <v>1786</v>
      </c>
      <c r="U103" s="34">
        <v>0.1</v>
      </c>
      <c r="V103" s="34">
        <v>0.1</v>
      </c>
      <c r="W103" s="1">
        <v>0</v>
      </c>
      <c r="X103" s="1">
        <v>700</v>
      </c>
      <c r="Y103" s="1">
        <v>0</v>
      </c>
    </row>
    <row r="104" spans="1:25" x14ac:dyDescent="0.35">
      <c r="A104">
        <v>100</v>
      </c>
      <c r="B104" t="s">
        <v>532</v>
      </c>
      <c r="C104" s="160" t="s">
        <v>543</v>
      </c>
      <c r="H104" t="s">
        <v>87</v>
      </c>
      <c r="I104">
        <v>0</v>
      </c>
      <c r="J104" s="27">
        <v>1500</v>
      </c>
      <c r="K104" s="1" t="s">
        <v>12</v>
      </c>
      <c r="L104" s="34">
        <v>0.08</v>
      </c>
      <c r="M104" s="1">
        <f t="shared" si="11"/>
        <v>1669.8000000000004</v>
      </c>
      <c r="N104" s="1">
        <f t="shared" si="6"/>
        <v>1315</v>
      </c>
      <c r="O104" s="34">
        <v>0.15</v>
      </c>
      <c r="P104" s="1">
        <f t="shared" si="7"/>
        <v>1512</v>
      </c>
      <c r="Q104" s="34">
        <v>0.05</v>
      </c>
      <c r="R104" s="1">
        <f t="shared" si="8"/>
        <v>76</v>
      </c>
      <c r="S104" s="1">
        <f t="shared" si="9"/>
        <v>1436</v>
      </c>
      <c r="T104" s="1">
        <f t="shared" si="10"/>
        <v>1824</v>
      </c>
      <c r="U104" s="34">
        <v>0.1</v>
      </c>
      <c r="V104" s="34">
        <v>0.1</v>
      </c>
      <c r="W104" s="1">
        <v>0</v>
      </c>
      <c r="X104" s="1">
        <v>700</v>
      </c>
      <c r="Y104" s="1">
        <v>0</v>
      </c>
    </row>
    <row r="105" spans="1:25" x14ac:dyDescent="0.35">
      <c r="A105">
        <v>101</v>
      </c>
      <c r="B105" t="s">
        <v>532</v>
      </c>
      <c r="C105" s="160" t="s">
        <v>544</v>
      </c>
      <c r="D105" s="158" t="s">
        <v>545</v>
      </c>
      <c r="H105" t="s">
        <v>87</v>
      </c>
      <c r="I105">
        <v>0</v>
      </c>
      <c r="J105" s="1">
        <v>1237</v>
      </c>
      <c r="K105" s="1" t="s">
        <v>12</v>
      </c>
      <c r="L105" s="34">
        <v>0.08</v>
      </c>
      <c r="M105" s="1">
        <f t="shared" si="11"/>
        <v>1376.9800000000002</v>
      </c>
      <c r="N105" s="1">
        <f t="shared" si="6"/>
        <v>1084</v>
      </c>
      <c r="O105" s="34">
        <v>0.15</v>
      </c>
      <c r="P105" s="1">
        <f t="shared" si="7"/>
        <v>1247</v>
      </c>
      <c r="Q105" s="34">
        <v>0.05</v>
      </c>
      <c r="R105" s="1">
        <f t="shared" si="8"/>
        <v>62</v>
      </c>
      <c r="S105" s="1">
        <f t="shared" si="9"/>
        <v>1185</v>
      </c>
      <c r="T105" s="1">
        <f t="shared" si="10"/>
        <v>1505</v>
      </c>
      <c r="U105" s="34">
        <v>0.1</v>
      </c>
      <c r="V105" s="34">
        <v>0.1</v>
      </c>
      <c r="W105" s="1">
        <v>0</v>
      </c>
      <c r="X105" s="1">
        <v>700</v>
      </c>
      <c r="Y105" s="1">
        <v>0</v>
      </c>
    </row>
    <row r="106" spans="1:25" x14ac:dyDescent="0.35">
      <c r="A106">
        <v>102</v>
      </c>
      <c r="B106" t="s">
        <v>532</v>
      </c>
      <c r="C106" s="160" t="s">
        <v>546</v>
      </c>
      <c r="D106" s="158" t="s">
        <v>547</v>
      </c>
      <c r="H106" t="s">
        <v>87</v>
      </c>
      <c r="I106">
        <v>0</v>
      </c>
      <c r="J106" s="1">
        <v>1071</v>
      </c>
      <c r="K106" s="1" t="s">
        <v>12</v>
      </c>
      <c r="L106" s="34">
        <v>0.08</v>
      </c>
      <c r="M106" s="1">
        <f t="shared" si="11"/>
        <v>1191.8500000000001</v>
      </c>
      <c r="N106" s="1">
        <f t="shared" si="6"/>
        <v>938</v>
      </c>
      <c r="O106" s="34">
        <v>0.15</v>
      </c>
      <c r="P106" s="1">
        <f t="shared" si="7"/>
        <v>1079</v>
      </c>
      <c r="Q106" s="34">
        <v>0.05</v>
      </c>
      <c r="R106" s="1">
        <f t="shared" si="8"/>
        <v>54</v>
      </c>
      <c r="S106" s="1">
        <f t="shared" si="9"/>
        <v>1025</v>
      </c>
      <c r="T106" s="1">
        <f t="shared" si="10"/>
        <v>1302</v>
      </c>
      <c r="U106" s="34">
        <v>0.1</v>
      </c>
      <c r="V106" s="34">
        <v>0.1</v>
      </c>
      <c r="W106" s="1">
        <v>0</v>
      </c>
      <c r="X106" s="1">
        <v>700</v>
      </c>
      <c r="Y106" s="1">
        <v>0</v>
      </c>
    </row>
    <row r="107" spans="1:25" x14ac:dyDescent="0.35">
      <c r="A107">
        <v>103</v>
      </c>
      <c r="B107" t="s">
        <v>532</v>
      </c>
      <c r="C107" s="160" t="s">
        <v>548</v>
      </c>
      <c r="D107" s="158" t="s">
        <v>549</v>
      </c>
      <c r="H107" t="s">
        <v>87</v>
      </c>
      <c r="I107">
        <v>0</v>
      </c>
      <c r="J107" s="1">
        <v>2652</v>
      </c>
      <c r="K107" s="1" t="s">
        <v>12</v>
      </c>
      <c r="L107" s="34">
        <v>0.08</v>
      </c>
      <c r="M107" s="1">
        <f t="shared" si="11"/>
        <v>2952.4</v>
      </c>
      <c r="N107" s="1">
        <f t="shared" si="6"/>
        <v>2325</v>
      </c>
      <c r="O107" s="34">
        <v>0.15</v>
      </c>
      <c r="P107" s="1">
        <f t="shared" si="7"/>
        <v>2674</v>
      </c>
      <c r="Q107" s="34">
        <v>0.05</v>
      </c>
      <c r="R107" s="1">
        <f t="shared" si="8"/>
        <v>134</v>
      </c>
      <c r="S107" s="1">
        <f t="shared" si="9"/>
        <v>2540</v>
      </c>
      <c r="T107" s="1">
        <f t="shared" si="10"/>
        <v>3226</v>
      </c>
      <c r="U107" s="34">
        <v>0.1</v>
      </c>
      <c r="V107" s="34">
        <v>0.1</v>
      </c>
      <c r="W107" s="1">
        <v>0</v>
      </c>
      <c r="X107" s="1">
        <v>900</v>
      </c>
      <c r="Y107" s="1">
        <v>0</v>
      </c>
    </row>
    <row r="108" spans="1:25" x14ac:dyDescent="0.35">
      <c r="A108">
        <v>104</v>
      </c>
      <c r="B108" t="s">
        <v>532</v>
      </c>
      <c r="C108" s="160" t="s">
        <v>550</v>
      </c>
      <c r="D108" s="158" t="s">
        <v>551</v>
      </c>
      <c r="H108" t="s">
        <v>87</v>
      </c>
      <c r="I108">
        <v>0</v>
      </c>
      <c r="J108" s="1">
        <v>2042</v>
      </c>
      <c r="K108" s="1" t="s">
        <v>12</v>
      </c>
      <c r="L108" s="34">
        <v>0.08</v>
      </c>
      <c r="M108" s="1">
        <f t="shared" si="11"/>
        <v>2273.59</v>
      </c>
      <c r="N108" s="1">
        <f t="shared" si="6"/>
        <v>1790</v>
      </c>
      <c r="O108" s="34">
        <v>0.15</v>
      </c>
      <c r="P108" s="1">
        <f t="shared" si="7"/>
        <v>2059</v>
      </c>
      <c r="Q108" s="34">
        <v>0.05</v>
      </c>
      <c r="R108" s="1">
        <f t="shared" si="8"/>
        <v>103</v>
      </c>
      <c r="S108" s="1">
        <f t="shared" si="9"/>
        <v>1956</v>
      </c>
      <c r="T108" s="1">
        <f t="shared" si="10"/>
        <v>2484</v>
      </c>
      <c r="U108" s="34">
        <v>0.1</v>
      </c>
      <c r="V108" s="34">
        <v>0.1</v>
      </c>
      <c r="W108" s="1">
        <v>0</v>
      </c>
      <c r="X108" s="1">
        <v>1000</v>
      </c>
      <c r="Y108" s="1">
        <v>0</v>
      </c>
    </row>
    <row r="109" spans="1:25" x14ac:dyDescent="0.35">
      <c r="A109">
        <v>105</v>
      </c>
      <c r="B109" t="s">
        <v>232</v>
      </c>
      <c r="C109" s="160" t="s">
        <v>233</v>
      </c>
      <c r="D109" s="158" t="s">
        <v>234</v>
      </c>
      <c r="E109" s="22" t="s">
        <v>235</v>
      </c>
      <c r="F109" s="159">
        <v>44971</v>
      </c>
      <c r="G109" s="159" t="s">
        <v>176</v>
      </c>
      <c r="H109" t="s">
        <v>87</v>
      </c>
      <c r="I109">
        <v>1</v>
      </c>
      <c r="J109" s="1">
        <v>757</v>
      </c>
      <c r="K109" s="1" t="s">
        <v>12</v>
      </c>
      <c r="L109" s="34">
        <v>0.08</v>
      </c>
      <c r="M109" s="1">
        <f t="shared" si="11"/>
        <v>842.16000000000008</v>
      </c>
      <c r="N109" s="1">
        <f t="shared" si="6"/>
        <v>663</v>
      </c>
      <c r="O109" s="34">
        <v>0.15</v>
      </c>
      <c r="P109" s="1">
        <f t="shared" si="7"/>
        <v>762</v>
      </c>
      <c r="Q109" s="34">
        <v>0.05</v>
      </c>
      <c r="R109" s="1">
        <f t="shared" si="8"/>
        <v>38</v>
      </c>
      <c r="S109" s="1">
        <f t="shared" si="9"/>
        <v>724</v>
      </c>
      <c r="T109" s="1">
        <f t="shared" si="10"/>
        <v>919</v>
      </c>
      <c r="U109" s="34">
        <v>0.1</v>
      </c>
      <c r="V109" s="34">
        <v>0.1</v>
      </c>
      <c r="W109" s="1">
        <v>0</v>
      </c>
      <c r="X109" s="1">
        <v>1000</v>
      </c>
      <c r="Y109" s="1">
        <v>0</v>
      </c>
    </row>
    <row r="110" spans="1:25" x14ac:dyDescent="0.35">
      <c r="A110">
        <v>106</v>
      </c>
      <c r="B110" t="s">
        <v>232</v>
      </c>
      <c r="C110" s="160" t="s">
        <v>236</v>
      </c>
      <c r="D110" s="158" t="s">
        <v>237</v>
      </c>
      <c r="E110" s="22" t="s">
        <v>238</v>
      </c>
      <c r="F110" s="159">
        <v>44971</v>
      </c>
      <c r="G110" s="159" t="s">
        <v>176</v>
      </c>
      <c r="H110" t="s">
        <v>87</v>
      </c>
      <c r="I110">
        <v>1</v>
      </c>
      <c r="J110" s="1">
        <v>317</v>
      </c>
      <c r="K110" s="1" t="s">
        <v>12</v>
      </c>
      <c r="L110" s="34">
        <v>0.08</v>
      </c>
      <c r="M110" s="1">
        <f t="shared" si="11"/>
        <v>353.32000000000011</v>
      </c>
      <c r="N110" s="1">
        <f t="shared" si="6"/>
        <v>278</v>
      </c>
      <c r="O110" s="34">
        <v>0.15</v>
      </c>
      <c r="P110" s="1">
        <f t="shared" si="7"/>
        <v>320</v>
      </c>
      <c r="Q110" s="34">
        <v>0.05</v>
      </c>
      <c r="R110" s="1">
        <f t="shared" si="8"/>
        <v>16</v>
      </c>
      <c r="S110" s="1">
        <f t="shared" si="9"/>
        <v>304</v>
      </c>
      <c r="T110" s="1">
        <f t="shared" si="10"/>
        <v>386</v>
      </c>
      <c r="U110" s="34">
        <v>0.1</v>
      </c>
      <c r="V110" s="34">
        <v>0.1</v>
      </c>
      <c r="W110" s="1">
        <v>0</v>
      </c>
      <c r="X110" s="1">
        <v>1000</v>
      </c>
      <c r="Y110" s="1">
        <v>0</v>
      </c>
    </row>
    <row r="111" spans="1:25" x14ac:dyDescent="0.35">
      <c r="A111">
        <v>107</v>
      </c>
      <c r="B111" t="s">
        <v>232</v>
      </c>
      <c r="C111" s="160" t="s">
        <v>552</v>
      </c>
      <c r="D111" s="158" t="s">
        <v>239</v>
      </c>
      <c r="E111" s="22" t="s">
        <v>240</v>
      </c>
      <c r="F111" s="159">
        <v>44971</v>
      </c>
      <c r="G111" s="159" t="s">
        <v>176</v>
      </c>
      <c r="H111" t="s">
        <v>87</v>
      </c>
      <c r="I111">
        <v>1</v>
      </c>
      <c r="J111" s="27">
        <v>500</v>
      </c>
      <c r="K111" s="1" t="s">
        <v>12</v>
      </c>
      <c r="L111" s="34">
        <v>0.08</v>
      </c>
      <c r="M111" s="1">
        <f t="shared" si="11"/>
        <v>556.60000000000014</v>
      </c>
      <c r="N111" s="1">
        <f t="shared" si="6"/>
        <v>438</v>
      </c>
      <c r="O111" s="34">
        <v>0.15</v>
      </c>
      <c r="P111" s="1">
        <f t="shared" si="7"/>
        <v>504</v>
      </c>
      <c r="Q111" s="34">
        <v>0.05</v>
      </c>
      <c r="R111" s="1">
        <f t="shared" si="8"/>
        <v>25</v>
      </c>
      <c r="S111" s="1">
        <f t="shared" si="9"/>
        <v>479</v>
      </c>
      <c r="T111" s="1">
        <f t="shared" si="10"/>
        <v>608</v>
      </c>
      <c r="U111" s="34">
        <v>0.1</v>
      </c>
      <c r="V111" s="34">
        <v>0.1</v>
      </c>
      <c r="W111" s="1">
        <v>0</v>
      </c>
      <c r="X111" s="1">
        <v>1000</v>
      </c>
      <c r="Y111" s="1">
        <v>0</v>
      </c>
    </row>
    <row r="112" spans="1:25" x14ac:dyDescent="0.35">
      <c r="A112">
        <v>108</v>
      </c>
      <c r="B112" t="s">
        <v>232</v>
      </c>
      <c r="C112" s="160" t="s">
        <v>241</v>
      </c>
      <c r="D112" s="158" t="s">
        <v>242</v>
      </c>
      <c r="G112" s="159" t="s">
        <v>176</v>
      </c>
      <c r="H112" t="s">
        <v>87</v>
      </c>
      <c r="I112">
        <v>1</v>
      </c>
      <c r="J112" s="1">
        <v>32</v>
      </c>
      <c r="K112" s="1" t="s">
        <v>17</v>
      </c>
      <c r="L112" s="34">
        <v>0.08</v>
      </c>
      <c r="M112" s="1">
        <f t="shared" si="11"/>
        <v>35.090000000000003</v>
      </c>
      <c r="N112" s="1">
        <f t="shared" si="6"/>
        <v>28</v>
      </c>
      <c r="O112" s="34">
        <v>0.15</v>
      </c>
      <c r="P112" s="1">
        <f t="shared" si="7"/>
        <v>32</v>
      </c>
      <c r="Q112" s="34">
        <v>0.05</v>
      </c>
      <c r="R112" s="1">
        <f t="shared" si="8"/>
        <v>2</v>
      </c>
      <c r="S112" s="1">
        <f t="shared" si="9"/>
        <v>30</v>
      </c>
      <c r="T112" s="1">
        <f t="shared" si="10"/>
        <v>38</v>
      </c>
      <c r="U112" s="34">
        <v>0.1</v>
      </c>
      <c r="V112" s="34">
        <v>0.1</v>
      </c>
      <c r="W112" s="1">
        <v>0</v>
      </c>
      <c r="X112" s="1">
        <v>200</v>
      </c>
      <c r="Y112" s="1">
        <v>0</v>
      </c>
    </row>
    <row r="113" spans="1:25" x14ac:dyDescent="0.35">
      <c r="A113">
        <v>109</v>
      </c>
      <c r="B113" t="s">
        <v>232</v>
      </c>
      <c r="C113" s="160" t="s">
        <v>243</v>
      </c>
      <c r="D113" s="158" t="s">
        <v>244</v>
      </c>
      <c r="E113" s="22" t="s">
        <v>240</v>
      </c>
      <c r="F113" s="159">
        <v>44971</v>
      </c>
      <c r="G113" s="159" t="s">
        <v>176</v>
      </c>
      <c r="H113" t="s">
        <v>87</v>
      </c>
      <c r="I113">
        <v>1</v>
      </c>
      <c r="J113" s="1">
        <v>137</v>
      </c>
      <c r="K113" s="1" t="s">
        <v>12</v>
      </c>
      <c r="L113" s="34">
        <v>0.08</v>
      </c>
      <c r="M113" s="1">
        <f t="shared" si="11"/>
        <v>152.46000000000004</v>
      </c>
      <c r="N113" s="1">
        <f t="shared" si="6"/>
        <v>120</v>
      </c>
      <c r="O113" s="34">
        <v>0.15</v>
      </c>
      <c r="P113" s="1">
        <f t="shared" si="7"/>
        <v>138</v>
      </c>
      <c r="Q113" s="34">
        <v>0.05</v>
      </c>
      <c r="R113" s="1">
        <f t="shared" si="8"/>
        <v>7</v>
      </c>
      <c r="S113" s="1">
        <f t="shared" si="9"/>
        <v>131</v>
      </c>
      <c r="T113" s="1">
        <f t="shared" si="10"/>
        <v>166</v>
      </c>
      <c r="U113" s="34">
        <v>0.1</v>
      </c>
      <c r="V113" s="34">
        <v>0.1</v>
      </c>
      <c r="W113" s="1">
        <v>0</v>
      </c>
      <c r="X113" s="1">
        <v>1000</v>
      </c>
      <c r="Y113" s="1">
        <v>0</v>
      </c>
    </row>
    <row r="114" spans="1:25" x14ac:dyDescent="0.35">
      <c r="A114">
        <v>110</v>
      </c>
      <c r="B114" t="s">
        <v>232</v>
      </c>
      <c r="C114" s="160" t="s">
        <v>404</v>
      </c>
      <c r="D114" s="158" t="s">
        <v>553</v>
      </c>
      <c r="E114" s="22" t="s">
        <v>240</v>
      </c>
      <c r="F114" s="159">
        <v>44971</v>
      </c>
      <c r="G114" s="159" t="s">
        <v>176</v>
      </c>
      <c r="H114" t="s">
        <v>87</v>
      </c>
      <c r="I114">
        <v>1</v>
      </c>
      <c r="J114" s="1">
        <v>126</v>
      </c>
      <c r="K114" s="1" t="s">
        <v>12</v>
      </c>
      <c r="L114" s="34">
        <v>0.08</v>
      </c>
      <c r="M114" s="1">
        <f t="shared" si="11"/>
        <v>140.36000000000001</v>
      </c>
      <c r="N114" s="1">
        <f t="shared" si="6"/>
        <v>111</v>
      </c>
      <c r="O114" s="34">
        <v>0.15</v>
      </c>
      <c r="P114" s="1">
        <f t="shared" si="7"/>
        <v>128</v>
      </c>
      <c r="Q114" s="34">
        <v>0.05</v>
      </c>
      <c r="R114" s="1">
        <f t="shared" si="8"/>
        <v>6</v>
      </c>
      <c r="S114" s="1">
        <f t="shared" si="9"/>
        <v>122</v>
      </c>
      <c r="T114" s="1">
        <f t="shared" si="10"/>
        <v>155</v>
      </c>
      <c r="U114" s="34">
        <v>0.1</v>
      </c>
      <c r="V114" s="34">
        <v>0.1</v>
      </c>
      <c r="W114" s="1">
        <v>0</v>
      </c>
      <c r="X114" s="1">
        <v>0</v>
      </c>
      <c r="Y114" s="1">
        <v>0</v>
      </c>
    </row>
    <row r="115" spans="1:25" x14ac:dyDescent="0.35">
      <c r="A115">
        <v>111</v>
      </c>
      <c r="B115" t="s">
        <v>245</v>
      </c>
      <c r="C115" s="160" t="s">
        <v>246</v>
      </c>
      <c r="D115" s="158" t="s">
        <v>247</v>
      </c>
      <c r="E115" s="22" t="s">
        <v>248</v>
      </c>
      <c r="F115" s="159">
        <v>44971</v>
      </c>
      <c r="G115" s="159" t="s">
        <v>162</v>
      </c>
      <c r="H115" t="s">
        <v>87</v>
      </c>
      <c r="I115">
        <v>1</v>
      </c>
      <c r="J115">
        <v>93</v>
      </c>
      <c r="K115" s="1" t="s">
        <v>17</v>
      </c>
      <c r="L115" s="34">
        <v>0.08</v>
      </c>
      <c r="M115" s="1">
        <f t="shared" si="11"/>
        <v>104.06000000000002</v>
      </c>
      <c r="N115" s="1">
        <f t="shared" si="6"/>
        <v>82</v>
      </c>
      <c r="O115" s="34">
        <v>0.15</v>
      </c>
      <c r="P115" s="1">
        <f t="shared" si="7"/>
        <v>94</v>
      </c>
      <c r="Q115" s="34">
        <v>0.05</v>
      </c>
      <c r="R115" s="1">
        <f t="shared" si="8"/>
        <v>5</v>
      </c>
      <c r="S115" s="1">
        <f t="shared" si="9"/>
        <v>89</v>
      </c>
      <c r="T115" s="1">
        <f t="shared" si="10"/>
        <v>113</v>
      </c>
      <c r="U115" s="34">
        <v>0.1</v>
      </c>
      <c r="V115" s="34">
        <v>0.1</v>
      </c>
      <c r="W115" s="1">
        <v>0</v>
      </c>
      <c r="X115" s="1">
        <v>200</v>
      </c>
      <c r="Y115" s="1">
        <v>0</v>
      </c>
    </row>
    <row r="116" spans="1:25" x14ac:dyDescent="0.35">
      <c r="A116">
        <v>112</v>
      </c>
      <c r="B116" t="s">
        <v>245</v>
      </c>
      <c r="C116" s="160" t="s">
        <v>554</v>
      </c>
      <c r="D116" s="158" t="s">
        <v>555</v>
      </c>
      <c r="H116" t="s">
        <v>87</v>
      </c>
      <c r="I116">
        <v>0</v>
      </c>
      <c r="J116" s="1">
        <v>290</v>
      </c>
      <c r="K116" s="1" t="s">
        <v>17</v>
      </c>
      <c r="L116" s="34">
        <v>0.08</v>
      </c>
      <c r="M116" s="1">
        <f t="shared" si="11"/>
        <v>323.07000000000005</v>
      </c>
      <c r="N116" s="1">
        <f t="shared" si="6"/>
        <v>254</v>
      </c>
      <c r="O116" s="34">
        <v>0.15</v>
      </c>
      <c r="P116" s="1">
        <f t="shared" si="7"/>
        <v>292</v>
      </c>
      <c r="Q116" s="34">
        <v>0.05</v>
      </c>
      <c r="R116" s="1">
        <f t="shared" si="8"/>
        <v>15</v>
      </c>
      <c r="S116" s="1">
        <f t="shared" si="9"/>
        <v>277</v>
      </c>
      <c r="T116" s="1">
        <f t="shared" si="10"/>
        <v>352</v>
      </c>
      <c r="U116" s="34">
        <v>0.1</v>
      </c>
      <c r="V116" s="34">
        <v>0.1</v>
      </c>
      <c r="W116" s="1">
        <v>0</v>
      </c>
      <c r="X116" s="1">
        <v>200</v>
      </c>
      <c r="Y116" s="1">
        <v>0</v>
      </c>
    </row>
    <row r="117" spans="1:25" x14ac:dyDescent="0.35">
      <c r="A117">
        <v>113</v>
      </c>
      <c r="B117" t="s">
        <v>245</v>
      </c>
      <c r="C117" s="160" t="s">
        <v>249</v>
      </c>
      <c r="D117" s="158" t="s">
        <v>250</v>
      </c>
      <c r="E117" s="22" t="s">
        <v>248</v>
      </c>
      <c r="F117" s="159">
        <v>44971</v>
      </c>
      <c r="G117" s="159" t="s">
        <v>162</v>
      </c>
      <c r="H117" t="s">
        <v>87</v>
      </c>
      <c r="I117">
        <v>1</v>
      </c>
      <c r="J117" s="1">
        <v>175</v>
      </c>
      <c r="K117" s="1" t="s">
        <v>17</v>
      </c>
      <c r="L117" s="34">
        <v>0.08</v>
      </c>
      <c r="M117" s="1">
        <f t="shared" si="11"/>
        <v>194.81000000000003</v>
      </c>
      <c r="N117" s="1">
        <f t="shared" si="6"/>
        <v>153</v>
      </c>
      <c r="O117" s="34">
        <v>0.15</v>
      </c>
      <c r="P117" s="1">
        <f t="shared" si="7"/>
        <v>176</v>
      </c>
      <c r="Q117" s="34">
        <v>0.05</v>
      </c>
      <c r="R117" s="1">
        <f t="shared" si="8"/>
        <v>9</v>
      </c>
      <c r="S117" s="1">
        <f t="shared" si="9"/>
        <v>167</v>
      </c>
      <c r="T117" s="1">
        <f t="shared" si="10"/>
        <v>212</v>
      </c>
      <c r="U117" s="34">
        <v>0.1</v>
      </c>
      <c r="V117" s="34">
        <v>0.1</v>
      </c>
      <c r="W117" s="1">
        <v>0</v>
      </c>
      <c r="X117" s="1">
        <v>200</v>
      </c>
      <c r="Y117" s="1">
        <v>0</v>
      </c>
    </row>
    <row r="118" spans="1:25" x14ac:dyDescent="0.35">
      <c r="A118">
        <v>114</v>
      </c>
      <c r="B118" t="s">
        <v>245</v>
      </c>
      <c r="C118" s="160" t="s">
        <v>556</v>
      </c>
      <c r="D118" s="158" t="s">
        <v>557</v>
      </c>
      <c r="H118" t="s">
        <v>87</v>
      </c>
      <c r="I118">
        <v>0</v>
      </c>
      <c r="J118" s="1">
        <v>231</v>
      </c>
      <c r="K118" s="1" t="s">
        <v>17</v>
      </c>
      <c r="L118" s="34">
        <v>0.08</v>
      </c>
      <c r="M118" s="1">
        <f t="shared" si="11"/>
        <v>257.73</v>
      </c>
      <c r="N118" s="1">
        <f t="shared" si="6"/>
        <v>203</v>
      </c>
      <c r="O118" s="34">
        <v>0.15</v>
      </c>
      <c r="P118" s="1">
        <f t="shared" si="7"/>
        <v>233</v>
      </c>
      <c r="Q118" s="34">
        <v>0.05</v>
      </c>
      <c r="R118" s="1">
        <f t="shared" si="8"/>
        <v>12</v>
      </c>
      <c r="S118" s="1">
        <f t="shared" si="9"/>
        <v>221</v>
      </c>
      <c r="T118" s="1">
        <f t="shared" si="10"/>
        <v>281</v>
      </c>
      <c r="U118" s="34">
        <v>0.1</v>
      </c>
      <c r="V118" s="34">
        <v>0.1</v>
      </c>
      <c r="W118" s="1">
        <v>0</v>
      </c>
      <c r="X118" s="1">
        <v>200</v>
      </c>
      <c r="Y118" s="1">
        <v>0</v>
      </c>
    </row>
    <row r="119" spans="1:25" x14ac:dyDescent="0.35">
      <c r="A119">
        <v>115</v>
      </c>
      <c r="B119" t="s">
        <v>245</v>
      </c>
      <c r="C119" s="160" t="s">
        <v>558</v>
      </c>
      <c r="D119" s="158" t="s">
        <v>559</v>
      </c>
      <c r="H119" t="s">
        <v>87</v>
      </c>
      <c r="I119">
        <v>0</v>
      </c>
      <c r="J119" s="1">
        <v>280</v>
      </c>
      <c r="K119" s="1" t="s">
        <v>17</v>
      </c>
      <c r="L119" s="34">
        <v>0.08</v>
      </c>
      <c r="M119" s="1">
        <f t="shared" si="11"/>
        <v>312.18000000000006</v>
      </c>
      <c r="N119" s="1">
        <f t="shared" si="6"/>
        <v>246</v>
      </c>
      <c r="O119" s="34">
        <v>0.15</v>
      </c>
      <c r="P119" s="1">
        <f t="shared" si="7"/>
        <v>283</v>
      </c>
      <c r="Q119" s="34">
        <v>0.05</v>
      </c>
      <c r="R119" s="1">
        <f t="shared" si="8"/>
        <v>14</v>
      </c>
      <c r="S119" s="1">
        <f t="shared" si="9"/>
        <v>269</v>
      </c>
      <c r="T119" s="1">
        <f t="shared" si="10"/>
        <v>342</v>
      </c>
      <c r="U119" s="34">
        <v>0.1</v>
      </c>
      <c r="V119" s="34">
        <v>0.1</v>
      </c>
      <c r="W119" s="1">
        <v>0</v>
      </c>
      <c r="X119" s="1">
        <v>200</v>
      </c>
      <c r="Y119" s="1">
        <v>0</v>
      </c>
    </row>
    <row r="120" spans="1:25" x14ac:dyDescent="0.35">
      <c r="A120">
        <v>116</v>
      </c>
      <c r="B120" t="s">
        <v>245</v>
      </c>
      <c r="C120" s="160" t="s">
        <v>560</v>
      </c>
      <c r="D120" s="158" t="s">
        <v>561</v>
      </c>
      <c r="E120" s="22" t="s">
        <v>562</v>
      </c>
      <c r="F120" s="159">
        <v>44971</v>
      </c>
      <c r="G120" s="159"/>
      <c r="H120" t="s">
        <v>87</v>
      </c>
      <c r="I120">
        <v>0</v>
      </c>
      <c r="J120" s="1">
        <v>104</v>
      </c>
      <c r="K120" s="1" t="s">
        <v>17</v>
      </c>
      <c r="L120" s="34">
        <v>0.08</v>
      </c>
      <c r="M120" s="1">
        <f t="shared" si="11"/>
        <v>116.16000000000003</v>
      </c>
      <c r="N120" s="1">
        <f t="shared" si="6"/>
        <v>91</v>
      </c>
      <c r="O120" s="34">
        <v>0.15</v>
      </c>
      <c r="P120" s="1">
        <f t="shared" si="7"/>
        <v>105</v>
      </c>
      <c r="Q120" s="34">
        <v>0.05</v>
      </c>
      <c r="R120" s="1">
        <f t="shared" si="8"/>
        <v>5</v>
      </c>
      <c r="S120" s="1">
        <f t="shared" si="9"/>
        <v>100</v>
      </c>
      <c r="T120" s="1">
        <f t="shared" si="10"/>
        <v>127</v>
      </c>
      <c r="U120" s="34">
        <v>0.1</v>
      </c>
      <c r="V120" s="34">
        <v>0.1</v>
      </c>
      <c r="W120" s="1">
        <v>0</v>
      </c>
      <c r="X120" s="1">
        <v>200</v>
      </c>
      <c r="Y120" s="1">
        <v>0</v>
      </c>
    </row>
    <row r="121" spans="1:25" x14ac:dyDescent="0.35">
      <c r="A121">
        <v>117</v>
      </c>
      <c r="B121" t="s">
        <v>245</v>
      </c>
      <c r="C121" s="160" t="s">
        <v>563</v>
      </c>
      <c r="D121" s="158" t="s">
        <v>564</v>
      </c>
      <c r="H121" t="s">
        <v>87</v>
      </c>
      <c r="I121">
        <v>0</v>
      </c>
      <c r="J121" s="1">
        <v>533</v>
      </c>
      <c r="K121" s="1" t="s">
        <v>17</v>
      </c>
      <c r="L121" s="34">
        <v>0.08</v>
      </c>
      <c r="M121" s="1">
        <f t="shared" si="11"/>
        <v>592.90000000000009</v>
      </c>
      <c r="N121" s="1">
        <f t="shared" si="6"/>
        <v>467</v>
      </c>
      <c r="O121" s="34">
        <v>0.15</v>
      </c>
      <c r="P121" s="1">
        <f t="shared" si="7"/>
        <v>537</v>
      </c>
      <c r="Q121" s="34">
        <v>0.05</v>
      </c>
      <c r="R121" s="1">
        <f t="shared" si="8"/>
        <v>27</v>
      </c>
      <c r="S121" s="1">
        <f t="shared" si="9"/>
        <v>510</v>
      </c>
      <c r="T121" s="1">
        <f t="shared" si="10"/>
        <v>648</v>
      </c>
      <c r="U121" s="34">
        <v>0.1</v>
      </c>
      <c r="V121" s="34">
        <v>0.1</v>
      </c>
      <c r="W121" s="1">
        <v>0</v>
      </c>
      <c r="X121" s="1">
        <v>200</v>
      </c>
      <c r="Y121" s="1">
        <v>0</v>
      </c>
    </row>
    <row r="122" spans="1:25" x14ac:dyDescent="0.35">
      <c r="A122">
        <v>118</v>
      </c>
      <c r="B122" t="s">
        <v>245</v>
      </c>
      <c r="C122" s="160" t="s">
        <v>565</v>
      </c>
      <c r="D122" s="158" t="s">
        <v>566</v>
      </c>
      <c r="H122" t="s">
        <v>87</v>
      </c>
      <c r="I122">
        <v>0</v>
      </c>
      <c r="J122" s="1">
        <v>737</v>
      </c>
      <c r="K122" s="1" t="s">
        <v>17</v>
      </c>
      <c r="L122" s="34">
        <v>0.08</v>
      </c>
      <c r="M122" s="1">
        <f t="shared" si="11"/>
        <v>820.38000000000011</v>
      </c>
      <c r="N122" s="1">
        <f t="shared" si="6"/>
        <v>646</v>
      </c>
      <c r="O122" s="34">
        <v>0.15</v>
      </c>
      <c r="P122" s="1">
        <f t="shared" si="7"/>
        <v>743</v>
      </c>
      <c r="Q122" s="34">
        <v>0.05</v>
      </c>
      <c r="R122" s="1">
        <f t="shared" si="8"/>
        <v>37</v>
      </c>
      <c r="S122" s="1">
        <f t="shared" si="9"/>
        <v>706</v>
      </c>
      <c r="T122" s="1">
        <f t="shared" si="10"/>
        <v>897</v>
      </c>
      <c r="U122" s="34">
        <v>0.1</v>
      </c>
      <c r="V122" s="34">
        <v>0.1</v>
      </c>
      <c r="W122" s="1">
        <v>0</v>
      </c>
      <c r="X122" s="1">
        <v>200</v>
      </c>
      <c r="Y122" s="1">
        <v>0</v>
      </c>
    </row>
    <row r="123" spans="1:25" x14ac:dyDescent="0.35">
      <c r="A123">
        <v>119</v>
      </c>
      <c r="B123" t="s">
        <v>245</v>
      </c>
      <c r="C123" s="160" t="s">
        <v>567</v>
      </c>
      <c r="D123" s="158" t="s">
        <v>568</v>
      </c>
      <c r="E123" s="22" t="s">
        <v>562</v>
      </c>
      <c r="F123" s="159">
        <v>44971</v>
      </c>
      <c r="G123" s="159"/>
      <c r="H123" t="s">
        <v>87</v>
      </c>
      <c r="I123">
        <v>0</v>
      </c>
      <c r="J123" s="1">
        <v>140</v>
      </c>
      <c r="K123" s="1" t="s">
        <v>17</v>
      </c>
      <c r="L123" s="34">
        <v>0.08</v>
      </c>
      <c r="M123" s="1">
        <f t="shared" si="11"/>
        <v>156.09000000000003</v>
      </c>
      <c r="N123" s="1">
        <f t="shared" si="6"/>
        <v>123</v>
      </c>
      <c r="O123" s="34">
        <v>0.15</v>
      </c>
      <c r="P123" s="1">
        <f t="shared" si="7"/>
        <v>141</v>
      </c>
      <c r="Q123" s="34">
        <v>0.05</v>
      </c>
      <c r="R123" s="1">
        <f t="shared" si="8"/>
        <v>7</v>
      </c>
      <c r="S123" s="1">
        <f t="shared" si="9"/>
        <v>134</v>
      </c>
      <c r="T123" s="1">
        <f t="shared" si="10"/>
        <v>170</v>
      </c>
      <c r="U123" s="34">
        <v>0.1</v>
      </c>
      <c r="V123" s="34">
        <v>0.1</v>
      </c>
      <c r="W123" s="1">
        <v>0</v>
      </c>
      <c r="X123" s="1">
        <v>200</v>
      </c>
      <c r="Y123" s="1">
        <v>0</v>
      </c>
    </row>
    <row r="124" spans="1:25" x14ac:dyDescent="0.35">
      <c r="A124">
        <v>120</v>
      </c>
      <c r="B124" t="s">
        <v>245</v>
      </c>
      <c r="C124" s="160" t="s">
        <v>569</v>
      </c>
      <c r="D124" s="158" t="s">
        <v>570</v>
      </c>
      <c r="H124" t="s">
        <v>87</v>
      </c>
      <c r="I124">
        <v>0</v>
      </c>
      <c r="J124" s="1">
        <v>1472</v>
      </c>
      <c r="K124" s="1" t="s">
        <v>17</v>
      </c>
      <c r="L124" s="34">
        <v>0.08</v>
      </c>
      <c r="M124" s="1">
        <f t="shared" si="11"/>
        <v>1638.3400000000001</v>
      </c>
      <c r="N124" s="1">
        <f t="shared" si="6"/>
        <v>1290</v>
      </c>
      <c r="O124" s="34">
        <v>0.15</v>
      </c>
      <c r="P124" s="1">
        <f t="shared" si="7"/>
        <v>1484</v>
      </c>
      <c r="Q124" s="34">
        <v>0.05</v>
      </c>
      <c r="R124" s="1">
        <f t="shared" si="8"/>
        <v>74</v>
      </c>
      <c r="S124" s="1">
        <f t="shared" si="9"/>
        <v>1410</v>
      </c>
      <c r="T124" s="1">
        <f t="shared" si="10"/>
        <v>1791</v>
      </c>
      <c r="U124" s="34">
        <v>0.1</v>
      </c>
      <c r="V124" s="34">
        <v>0.1</v>
      </c>
      <c r="W124" s="1">
        <v>0</v>
      </c>
      <c r="X124" s="1">
        <v>200</v>
      </c>
      <c r="Y124" s="1">
        <v>0</v>
      </c>
    </row>
    <row r="125" spans="1:25" x14ac:dyDescent="0.35">
      <c r="A125">
        <v>121</v>
      </c>
      <c r="B125" t="s">
        <v>245</v>
      </c>
      <c r="C125" s="160" t="s">
        <v>571</v>
      </c>
      <c r="D125" s="158" t="s">
        <v>572</v>
      </c>
      <c r="H125" t="s">
        <v>87</v>
      </c>
      <c r="I125">
        <v>0</v>
      </c>
      <c r="J125" s="1">
        <v>274</v>
      </c>
      <c r="K125" s="1" t="s">
        <v>17</v>
      </c>
      <c r="L125" s="34">
        <v>0.08</v>
      </c>
      <c r="M125" s="1">
        <f t="shared" si="11"/>
        <v>304.92000000000007</v>
      </c>
      <c r="N125" s="1">
        <f t="shared" si="6"/>
        <v>240</v>
      </c>
      <c r="O125" s="34">
        <v>0.15</v>
      </c>
      <c r="P125" s="1">
        <f t="shared" si="7"/>
        <v>276</v>
      </c>
      <c r="Q125" s="34">
        <v>0.05</v>
      </c>
      <c r="R125" s="1">
        <f t="shared" si="8"/>
        <v>14</v>
      </c>
      <c r="S125" s="1">
        <f t="shared" si="9"/>
        <v>262</v>
      </c>
      <c r="T125" s="1">
        <f t="shared" si="10"/>
        <v>333</v>
      </c>
      <c r="U125" s="34">
        <v>0.1</v>
      </c>
      <c r="V125" s="34">
        <v>0.1</v>
      </c>
      <c r="W125" s="1">
        <v>0</v>
      </c>
      <c r="X125" s="1">
        <v>200</v>
      </c>
      <c r="Y125" s="1">
        <v>0</v>
      </c>
    </row>
    <row r="126" spans="1:25" x14ac:dyDescent="0.35">
      <c r="A126">
        <v>122</v>
      </c>
      <c r="B126" t="s">
        <v>245</v>
      </c>
      <c r="C126" s="160" t="s">
        <v>573</v>
      </c>
      <c r="D126" s="158" t="s">
        <v>574</v>
      </c>
      <c r="H126" t="s">
        <v>87</v>
      </c>
      <c r="I126">
        <v>0</v>
      </c>
      <c r="J126" s="1">
        <v>405</v>
      </c>
      <c r="K126" s="1" t="s">
        <v>17</v>
      </c>
      <c r="L126" s="34">
        <v>0.08</v>
      </c>
      <c r="M126" s="1">
        <f t="shared" si="11"/>
        <v>451.33000000000004</v>
      </c>
      <c r="N126" s="1">
        <f t="shared" si="6"/>
        <v>355</v>
      </c>
      <c r="O126" s="34">
        <v>0.15</v>
      </c>
      <c r="P126" s="1">
        <f t="shared" si="7"/>
        <v>408</v>
      </c>
      <c r="Q126" s="34">
        <v>0.05</v>
      </c>
      <c r="R126" s="1">
        <f t="shared" si="8"/>
        <v>20</v>
      </c>
      <c r="S126" s="1">
        <f t="shared" si="9"/>
        <v>388</v>
      </c>
      <c r="T126" s="1">
        <f t="shared" si="10"/>
        <v>493</v>
      </c>
      <c r="U126" s="34">
        <v>0.1</v>
      </c>
      <c r="V126" s="34">
        <v>0.1</v>
      </c>
      <c r="W126" s="1">
        <v>0</v>
      </c>
      <c r="X126" s="1">
        <v>200</v>
      </c>
      <c r="Y126" s="1">
        <v>0</v>
      </c>
    </row>
    <row r="127" spans="1:25" x14ac:dyDescent="0.35">
      <c r="A127">
        <v>123</v>
      </c>
      <c r="B127" t="s">
        <v>218</v>
      </c>
      <c r="C127" s="160" t="s">
        <v>401</v>
      </c>
      <c r="D127" s="158" t="s">
        <v>575</v>
      </c>
      <c r="E127" s="22" t="s">
        <v>576</v>
      </c>
      <c r="F127" s="159">
        <v>44971</v>
      </c>
      <c r="G127" s="158" t="s">
        <v>176</v>
      </c>
      <c r="H127" t="s">
        <v>87</v>
      </c>
      <c r="I127">
        <v>1</v>
      </c>
      <c r="J127" s="1">
        <v>256</v>
      </c>
      <c r="K127" s="1" t="s">
        <v>17</v>
      </c>
      <c r="L127" s="34">
        <v>0.08</v>
      </c>
      <c r="M127" s="1">
        <f t="shared" si="11"/>
        <v>285.56000000000006</v>
      </c>
      <c r="N127" s="1">
        <f t="shared" si="6"/>
        <v>225</v>
      </c>
      <c r="O127" s="34">
        <v>0.15</v>
      </c>
      <c r="P127" s="1">
        <f t="shared" si="7"/>
        <v>259</v>
      </c>
      <c r="Q127" s="34">
        <v>0.05</v>
      </c>
      <c r="R127" s="1">
        <f t="shared" si="8"/>
        <v>13</v>
      </c>
      <c r="S127" s="1">
        <f t="shared" si="9"/>
        <v>246</v>
      </c>
      <c r="T127" s="1">
        <f t="shared" si="10"/>
        <v>312</v>
      </c>
      <c r="U127" s="34">
        <v>0.1</v>
      </c>
      <c r="V127" s="34">
        <v>0.1</v>
      </c>
      <c r="W127" s="1">
        <v>0</v>
      </c>
      <c r="X127" s="1">
        <v>200</v>
      </c>
      <c r="Y127" s="1">
        <v>0</v>
      </c>
    </row>
    <row r="128" spans="1:25" x14ac:dyDescent="0.35">
      <c r="A128">
        <v>124</v>
      </c>
      <c r="B128" t="s">
        <v>218</v>
      </c>
      <c r="C128" s="160" t="s">
        <v>402</v>
      </c>
      <c r="D128" s="158" t="s">
        <v>577</v>
      </c>
      <c r="E128" s="22" t="s">
        <v>576</v>
      </c>
      <c r="F128" s="159">
        <v>44971</v>
      </c>
      <c r="G128" s="158" t="s">
        <v>176</v>
      </c>
      <c r="H128" t="s">
        <v>87</v>
      </c>
      <c r="I128">
        <v>1</v>
      </c>
      <c r="J128" s="1">
        <v>322</v>
      </c>
      <c r="K128" s="1" t="s">
        <v>17</v>
      </c>
      <c r="L128" s="34">
        <v>0.08</v>
      </c>
      <c r="M128" s="1">
        <f t="shared" si="11"/>
        <v>358.16000000000008</v>
      </c>
      <c r="N128" s="1">
        <f t="shared" si="6"/>
        <v>282</v>
      </c>
      <c r="O128" s="34">
        <v>0.15</v>
      </c>
      <c r="P128" s="1">
        <f t="shared" si="7"/>
        <v>324</v>
      </c>
      <c r="Q128" s="34">
        <v>0.05</v>
      </c>
      <c r="R128" s="1">
        <f t="shared" si="8"/>
        <v>16</v>
      </c>
      <c r="S128" s="1">
        <f t="shared" si="9"/>
        <v>308</v>
      </c>
      <c r="T128" s="1">
        <f t="shared" si="10"/>
        <v>391</v>
      </c>
      <c r="U128" s="34">
        <v>0.1</v>
      </c>
      <c r="V128" s="34">
        <v>0.1</v>
      </c>
      <c r="W128" s="1">
        <v>0</v>
      </c>
      <c r="X128" s="1">
        <v>200</v>
      </c>
      <c r="Y128" s="1">
        <v>0</v>
      </c>
    </row>
    <row r="129" spans="1:25" x14ac:dyDescent="0.35">
      <c r="A129">
        <v>125</v>
      </c>
      <c r="B129" t="s">
        <v>218</v>
      </c>
      <c r="C129" s="160" t="s">
        <v>578</v>
      </c>
      <c r="D129" s="158" t="s">
        <v>579</v>
      </c>
      <c r="E129" s="22"/>
      <c r="H129" t="s">
        <v>87</v>
      </c>
      <c r="I129">
        <v>0</v>
      </c>
      <c r="J129" s="1">
        <v>381</v>
      </c>
      <c r="K129" s="1" t="s">
        <v>17</v>
      </c>
      <c r="L129" s="34">
        <v>0.08</v>
      </c>
      <c r="M129" s="1">
        <f t="shared" si="11"/>
        <v>424.71000000000004</v>
      </c>
      <c r="N129" s="1">
        <f t="shared" si="6"/>
        <v>334</v>
      </c>
      <c r="O129" s="34">
        <v>0.15</v>
      </c>
      <c r="P129" s="1">
        <f t="shared" si="7"/>
        <v>384</v>
      </c>
      <c r="Q129" s="34">
        <v>0.05</v>
      </c>
      <c r="R129" s="1">
        <f t="shared" si="8"/>
        <v>19</v>
      </c>
      <c r="S129" s="1">
        <f t="shared" si="9"/>
        <v>365</v>
      </c>
      <c r="T129" s="1">
        <f t="shared" si="10"/>
        <v>464</v>
      </c>
      <c r="U129" s="34">
        <v>0.1</v>
      </c>
      <c r="V129" s="34">
        <v>0.1</v>
      </c>
      <c r="W129" s="1">
        <v>0</v>
      </c>
      <c r="X129" s="1">
        <v>200</v>
      </c>
      <c r="Y129" s="1">
        <v>0</v>
      </c>
    </row>
    <row r="130" spans="1:25" x14ac:dyDescent="0.35">
      <c r="A130">
        <v>126</v>
      </c>
      <c r="B130" t="s">
        <v>218</v>
      </c>
      <c r="C130" s="160" t="s">
        <v>580</v>
      </c>
      <c r="D130" s="158" t="s">
        <v>581</v>
      </c>
      <c r="H130" t="s">
        <v>87</v>
      </c>
      <c r="I130">
        <v>0</v>
      </c>
      <c r="J130" s="1">
        <v>573</v>
      </c>
      <c r="K130" s="1" t="s">
        <v>17</v>
      </c>
      <c r="L130" s="34">
        <v>0.08</v>
      </c>
      <c r="M130" s="1">
        <f t="shared" si="11"/>
        <v>637.67000000000007</v>
      </c>
      <c r="N130" s="1">
        <f t="shared" ref="N130" si="12">ROUND(M130/1.27,0)</f>
        <v>502</v>
      </c>
      <c r="O130" s="34">
        <v>0.15</v>
      </c>
      <c r="P130" s="1">
        <f t="shared" ref="P130" si="13">ROUND(N130*(1+O130),0)</f>
        <v>577</v>
      </c>
      <c r="Q130" s="34">
        <v>0.05</v>
      </c>
      <c r="R130" s="1">
        <f t="shared" ref="R130" si="14">ROUND(P130*Q130,0)</f>
        <v>29</v>
      </c>
      <c r="S130" s="1">
        <f t="shared" ref="S130" si="15">ROUND(P130-R130,0)</f>
        <v>548</v>
      </c>
      <c r="T130" s="1">
        <f t="shared" ref="T130" si="16">ROUND(S130*1.27,0)</f>
        <v>696</v>
      </c>
      <c r="U130" s="34">
        <v>0.1</v>
      </c>
      <c r="V130" s="34">
        <v>0.1</v>
      </c>
      <c r="W130" s="1">
        <v>0</v>
      </c>
      <c r="X130" s="1">
        <v>200</v>
      </c>
      <c r="Y130" s="1">
        <v>0</v>
      </c>
    </row>
  </sheetData>
  <hyperlinks>
    <hyperlink ref="E85" r:id="rId1"/>
    <hyperlink ref="E86:E89" r:id="rId2" display="http://stafeta.hu/webshop/szerelesi-anyagok/csovek-csatornak-dobozok/mu-iii-cso"/>
    <hyperlink ref="E37" r:id="rId3"/>
    <hyperlink ref="E36" r:id="rId4"/>
    <hyperlink ref="E35" r:id="rId5"/>
    <hyperlink ref="E38" r:id="rId6"/>
    <hyperlink ref="E39" r:id="rId7"/>
    <hyperlink ref="E76" r:id="rId8"/>
    <hyperlink ref="E66" r:id="rId9"/>
    <hyperlink ref="E60" r:id="rId10"/>
    <hyperlink ref="E59" r:id="rId11"/>
    <hyperlink ref="E32" r:id="rId12"/>
    <hyperlink ref="E31" r:id="rId13"/>
    <hyperlink ref="E29" r:id="rId14"/>
    <hyperlink ref="E27" r:id="rId15"/>
    <hyperlink ref="E17" r:id="rId16"/>
    <hyperlink ref="E16" r:id="rId17"/>
    <hyperlink ref="E10" r:id="rId18"/>
    <hyperlink ref="E12" r:id="rId19"/>
    <hyperlink ref="E13" r:id="rId20"/>
    <hyperlink ref="E62" r:id="rId21"/>
    <hyperlink ref="E78" r:id="rId22"/>
    <hyperlink ref="E25" r:id="rId23"/>
    <hyperlink ref="E26" r:id="rId24"/>
    <hyperlink ref="E28" r:id="rId25"/>
    <hyperlink ref="E47" r:id="rId26"/>
    <hyperlink ref="E51" r:id="rId27"/>
    <hyperlink ref="E58" r:id="rId28"/>
    <hyperlink ref="E67" r:id="rId29"/>
    <hyperlink ref="E91" r:id="rId30"/>
    <hyperlink ref="E97" r:id="rId31"/>
    <hyperlink ref="E109" r:id="rId32"/>
    <hyperlink ref="E110" r:id="rId33"/>
    <hyperlink ref="E113" r:id="rId34"/>
    <hyperlink ref="E111" r:id="rId35"/>
    <hyperlink ref="E115" r:id="rId36"/>
    <hyperlink ref="E117" r:id="rId37"/>
    <hyperlink ref="E120" r:id="rId38"/>
    <hyperlink ref="E123" r:id="rId39"/>
    <hyperlink ref="E30" r:id="rId40"/>
    <hyperlink ref="E77" r:id="rId41"/>
    <hyperlink ref="E79:E80" r:id="rId42" display="http://stafeta.hu/webshop/kisfeszultsegu-keszulekek/eti/eti-kismegszakitok"/>
    <hyperlink ref="E93:E96" r:id="rId43" display="http://stafeta.hu/webshop/kisfeszultsegu-keszulekek/eti/eti-hibaaram-vedokapcsolok"/>
    <hyperlink ref="E90" r:id="rId44"/>
    <hyperlink ref="E128" r:id="rId45"/>
    <hyperlink ref="E127" r:id="rId46"/>
    <hyperlink ref="E44" r:id="rId47"/>
    <hyperlink ref="E55" r:id="rId48"/>
    <hyperlink ref="E114" r:id="rId49"/>
    <hyperlink ref="E98" r:id="rId50"/>
    <hyperlink ref="E2" r:id="rId51"/>
    <hyperlink ref="E3" r:id="rId52"/>
    <hyperlink ref="E4" r:id="rId53"/>
    <hyperlink ref="E8" r:id="rId54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7:AQ52"/>
  <sheetViews>
    <sheetView showGridLines="0" tabSelected="1" showWhiteSpace="0" topLeftCell="A7" zoomScaleNormal="100" zoomScaleSheetLayoutView="115" workbookViewId="0">
      <selection activeCell="A15" sqref="A15"/>
    </sheetView>
  </sheetViews>
  <sheetFormatPr defaultColWidth="0" defaultRowHeight="0" customHeight="1" zeroHeight="1" outlineLevelRow="1" x14ac:dyDescent="0.35"/>
  <cols>
    <col min="1" max="1" width="55.81640625" customWidth="1"/>
    <col min="2" max="2" width="10.1796875" customWidth="1"/>
    <col min="3" max="3" width="10.90625" customWidth="1"/>
    <col min="4" max="4" width="12.26953125" customWidth="1"/>
    <col min="5" max="5" width="13" customWidth="1"/>
    <col min="6" max="6" width="16.54296875" customWidth="1"/>
    <col min="7" max="7" width="10.36328125" customWidth="1"/>
    <col min="8" max="8" width="15" customWidth="1"/>
    <col min="9" max="9" width="9.26953125" customWidth="1"/>
    <col min="10" max="16384" width="9.08984375" hidden="1"/>
  </cols>
  <sheetData>
    <row r="7" spans="1:43" ht="21.9" customHeight="1" x14ac:dyDescent="0.8">
      <c r="A7" s="117"/>
      <c r="B7" s="169" t="s">
        <v>24</v>
      </c>
      <c r="C7" s="169"/>
      <c r="D7" s="169"/>
      <c r="E7" s="169"/>
      <c r="F7" s="169"/>
      <c r="G7" s="118" t="s">
        <v>26</v>
      </c>
      <c r="H7" s="118"/>
      <c r="I7" s="119"/>
    </row>
    <row r="8" spans="1:43" ht="21.9" customHeight="1" x14ac:dyDescent="0.8">
      <c r="A8" s="117"/>
      <c r="B8" s="169"/>
      <c r="C8" s="169"/>
      <c r="D8" s="169"/>
      <c r="E8" s="169"/>
      <c r="F8" s="169"/>
      <c r="G8" s="120" t="s">
        <v>96</v>
      </c>
      <c r="H8" s="118"/>
      <c r="I8" s="119"/>
    </row>
    <row r="9" spans="1:43" ht="15" customHeight="1" x14ac:dyDescent="0.35">
      <c r="A9" s="121"/>
      <c r="B9" s="121"/>
      <c r="C9" s="121"/>
      <c r="D9" s="121"/>
      <c r="E9" s="121"/>
      <c r="F9" s="121"/>
      <c r="G9" s="121"/>
      <c r="H9" s="121"/>
      <c r="I9" s="121"/>
    </row>
    <row r="10" spans="1:43" ht="15" customHeight="1" x14ac:dyDescent="0.35">
      <c r="A10" s="122" t="s">
        <v>93</v>
      </c>
      <c r="B10" s="123" t="str">
        <f>+ügyf!$I$2</f>
        <v>E22-0704-001</v>
      </c>
      <c r="C10" s="123"/>
      <c r="D10" s="123"/>
      <c r="E10" s="123"/>
      <c r="F10" s="122" t="s">
        <v>92</v>
      </c>
      <c r="G10" s="123" t="str">
        <f>ügyf!D2</f>
        <v>Martinás-Seprényi Zsuzsanna</v>
      </c>
      <c r="H10" s="123"/>
      <c r="I10" s="123"/>
    </row>
    <row r="11" spans="1:43" ht="15" customHeight="1" x14ac:dyDescent="0.35">
      <c r="A11" s="122" t="s">
        <v>91</v>
      </c>
      <c r="B11" s="127">
        <f>+ügyf!$B$2</f>
        <v>6154</v>
      </c>
      <c r="C11" s="124" t="str">
        <f>+ügyf!$C$2</f>
        <v>Martinás-Seprényi Zsuzsanna</v>
      </c>
      <c r="D11" s="123"/>
      <c r="E11" s="123"/>
      <c r="F11" s="122" t="s">
        <v>1</v>
      </c>
      <c r="G11" s="126" t="str">
        <f>+ügyf!$F$2</f>
        <v>+36317829232</v>
      </c>
      <c r="H11" s="124"/>
      <c r="I11" s="123"/>
    </row>
    <row r="12" spans="1:43" ht="14.5" x14ac:dyDescent="0.35">
      <c r="A12" s="122" t="s">
        <v>94</v>
      </c>
      <c r="B12" s="123" t="str">
        <f>+ügyf!$R$2</f>
        <v>XXII. Kerület</v>
      </c>
      <c r="C12" s="123"/>
      <c r="D12" s="123"/>
      <c r="E12" s="123"/>
      <c r="F12" s="122" t="s">
        <v>2</v>
      </c>
      <c r="G12" s="123" t="str">
        <f>+ügyf!$G$2</f>
        <v>zsuzska.seprenyi@gmail.com</v>
      </c>
      <c r="H12" s="125"/>
      <c r="I12" s="123"/>
    </row>
    <row r="13" spans="1:43" ht="14.5" x14ac:dyDescent="0.35">
      <c r="A13" s="6"/>
      <c r="B13" s="3"/>
      <c r="C13" s="3"/>
      <c r="D13" s="3"/>
      <c r="E13" s="3"/>
      <c r="F13" s="3"/>
      <c r="G13" s="5"/>
      <c r="H13" s="3"/>
      <c r="I13" s="3"/>
    </row>
    <row r="14" spans="1:43" s="8" customFormat="1" ht="29.5" outlineLevel="1" thickBot="1" x14ac:dyDescent="0.4">
      <c r="A14" s="11" t="s">
        <v>85</v>
      </c>
      <c r="B14" s="152" t="s">
        <v>3</v>
      </c>
      <c r="C14" s="152" t="s">
        <v>131</v>
      </c>
      <c r="D14" s="178" t="s">
        <v>132</v>
      </c>
      <c r="E14" s="178" t="s">
        <v>133</v>
      </c>
      <c r="F14" s="152" t="s">
        <v>136</v>
      </c>
      <c r="G14" s="152" t="s">
        <v>134</v>
      </c>
      <c r="H14" s="152" t="s">
        <v>135</v>
      </c>
      <c r="I14" s="152" t="s">
        <v>137</v>
      </c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</row>
    <row r="15" spans="1:43" s="1" customFormat="1" ht="14.5" outlineLevel="1" x14ac:dyDescent="0.35">
      <c r="A15" s="36" t="s">
        <v>121</v>
      </c>
      <c r="B15" s="10">
        <v>5</v>
      </c>
      <c r="C15" s="10" t="s">
        <v>12</v>
      </c>
      <c r="D15" s="10">
        <f>G15/1.27</f>
        <v>1176.3779527559054</v>
      </c>
      <c r="E15" s="10">
        <f>H15</f>
        <v>24000</v>
      </c>
      <c r="F15" s="10">
        <f>D15+E15</f>
        <v>25176.377952755905</v>
      </c>
      <c r="G15" s="10">
        <v>1494</v>
      </c>
      <c r="H15" s="10">
        <v>24000</v>
      </c>
      <c r="I15" s="10">
        <f>G15+H15</f>
        <v>25494</v>
      </c>
    </row>
    <row r="16" spans="1:43" s="1" customFormat="1" ht="14.5" outlineLevel="1" x14ac:dyDescent="0.35">
      <c r="A16" s="36" t="s">
        <v>122</v>
      </c>
      <c r="B16" s="10">
        <v>6</v>
      </c>
      <c r="C16" s="10" t="s">
        <v>12</v>
      </c>
      <c r="D16" s="10">
        <f t="shared" ref="D16:D23" si="0">G16/1.27</f>
        <v>782.36220472440937</v>
      </c>
      <c r="E16" s="10">
        <f t="shared" ref="E16:E23" si="1">H16</f>
        <v>10800</v>
      </c>
      <c r="F16" s="10">
        <f t="shared" ref="F16:F23" si="2">D16+E16</f>
        <v>11582.36220472441</v>
      </c>
      <c r="G16" s="10">
        <v>993.59999999999991</v>
      </c>
      <c r="H16" s="10">
        <v>10800</v>
      </c>
      <c r="I16" s="10">
        <f t="shared" ref="I16:I23" si="3">G16+H16</f>
        <v>11793.6</v>
      </c>
    </row>
    <row r="17" spans="1:9" s="1" customFormat="1" ht="14.5" outlineLevel="1" x14ac:dyDescent="0.35">
      <c r="A17" s="36" t="s">
        <v>123</v>
      </c>
      <c r="B17" s="10">
        <v>3</v>
      </c>
      <c r="C17" s="10" t="s">
        <v>12</v>
      </c>
      <c r="D17" s="10">
        <f t="shared" si="0"/>
        <v>547.08661417322833</v>
      </c>
      <c r="E17" s="10">
        <f t="shared" si="1"/>
        <v>5400</v>
      </c>
      <c r="F17" s="10">
        <f t="shared" si="2"/>
        <v>5947.0866141732286</v>
      </c>
      <c r="G17" s="10">
        <v>694.8</v>
      </c>
      <c r="H17" s="10">
        <v>5400</v>
      </c>
      <c r="I17" s="10">
        <f t="shared" si="3"/>
        <v>6094.8</v>
      </c>
    </row>
    <row r="18" spans="1:9" s="1" customFormat="1" ht="14.5" outlineLevel="1" x14ac:dyDescent="0.35">
      <c r="A18" s="36" t="s">
        <v>124</v>
      </c>
      <c r="B18" s="10">
        <v>1</v>
      </c>
      <c r="C18" s="10" t="s">
        <v>12</v>
      </c>
      <c r="D18" s="10">
        <f t="shared" si="0"/>
        <v>19931.338582677163</v>
      </c>
      <c r="E18" s="10">
        <f t="shared" si="1"/>
        <v>33600</v>
      </c>
      <c r="F18" s="10">
        <f t="shared" si="2"/>
        <v>53531.338582677163</v>
      </c>
      <c r="G18" s="10">
        <v>25312.799999999999</v>
      </c>
      <c r="H18" s="10">
        <v>33600</v>
      </c>
      <c r="I18" s="10">
        <f t="shared" si="3"/>
        <v>58912.800000000003</v>
      </c>
    </row>
    <row r="19" spans="1:9" s="1" customFormat="1" ht="14.5" outlineLevel="1" x14ac:dyDescent="0.35">
      <c r="A19" s="36" t="s">
        <v>125</v>
      </c>
      <c r="B19" s="10">
        <v>58</v>
      </c>
      <c r="C19" s="10" t="s">
        <v>17</v>
      </c>
      <c r="D19" s="10">
        <f t="shared" si="0"/>
        <v>9864.5669291338581</v>
      </c>
      <c r="E19" s="10">
        <f t="shared" si="1"/>
        <v>83520</v>
      </c>
      <c r="F19" s="10">
        <f t="shared" si="2"/>
        <v>93384.566929133856</v>
      </c>
      <c r="G19" s="10">
        <v>12528</v>
      </c>
      <c r="H19" s="10">
        <v>83520</v>
      </c>
      <c r="I19" s="10">
        <f t="shared" si="3"/>
        <v>96048</v>
      </c>
    </row>
    <row r="20" spans="1:9" s="1" customFormat="1" ht="14.5" outlineLevel="1" x14ac:dyDescent="0.35">
      <c r="A20" s="36" t="s">
        <v>126</v>
      </c>
      <c r="B20" s="10">
        <v>17</v>
      </c>
      <c r="C20" s="10" t="s">
        <v>17</v>
      </c>
      <c r="D20" s="10">
        <f t="shared" si="0"/>
        <v>6553.7007874015735</v>
      </c>
      <c r="E20" s="10">
        <f t="shared" si="1"/>
        <v>6120</v>
      </c>
      <c r="F20" s="10">
        <f t="shared" si="2"/>
        <v>12673.700787401573</v>
      </c>
      <c r="G20" s="10">
        <v>8323.1999999999989</v>
      </c>
      <c r="H20" s="10">
        <v>6120</v>
      </c>
      <c r="I20" s="10">
        <f t="shared" si="3"/>
        <v>14443.199999999999</v>
      </c>
    </row>
    <row r="21" spans="1:9" s="1" customFormat="1" ht="14.5" outlineLevel="1" x14ac:dyDescent="0.35">
      <c r="A21" s="36" t="s">
        <v>127</v>
      </c>
      <c r="B21" s="10">
        <v>8</v>
      </c>
      <c r="C21" s="10" t="s">
        <v>17</v>
      </c>
      <c r="D21" s="10">
        <f t="shared" si="0"/>
        <v>4762.2047244094483</v>
      </c>
      <c r="E21" s="10">
        <f t="shared" si="1"/>
        <v>2880</v>
      </c>
      <c r="F21" s="10">
        <f t="shared" si="2"/>
        <v>7642.2047244094483</v>
      </c>
      <c r="G21" s="10">
        <v>6048</v>
      </c>
      <c r="H21" s="10">
        <v>2880</v>
      </c>
      <c r="I21" s="10">
        <f t="shared" si="3"/>
        <v>8928</v>
      </c>
    </row>
    <row r="22" spans="1:9" s="1" customFormat="1" ht="14.5" outlineLevel="1" x14ac:dyDescent="0.35">
      <c r="A22" s="36" t="s">
        <v>128</v>
      </c>
      <c r="B22" s="10">
        <v>5</v>
      </c>
      <c r="C22" s="10" t="s">
        <v>12</v>
      </c>
      <c r="D22" s="10">
        <f t="shared" si="0"/>
        <v>6382.677165354331</v>
      </c>
      <c r="E22" s="10">
        <f t="shared" si="1"/>
        <v>3000</v>
      </c>
      <c r="F22" s="10">
        <f t="shared" si="2"/>
        <v>9382.677165354331</v>
      </c>
      <c r="G22" s="10">
        <v>8106</v>
      </c>
      <c r="H22" s="10">
        <v>3000</v>
      </c>
      <c r="I22" s="10">
        <f t="shared" si="3"/>
        <v>11106</v>
      </c>
    </row>
    <row r="23" spans="1:9" s="1" customFormat="1" ht="15" outlineLevel="1" thickBot="1" x14ac:dyDescent="0.4">
      <c r="A23" s="36" t="s">
        <v>129</v>
      </c>
      <c r="B23" s="10">
        <v>1</v>
      </c>
      <c r="C23" s="10" t="s">
        <v>12</v>
      </c>
      <c r="D23" s="12">
        <f t="shared" si="0"/>
        <v>10507.086614173228</v>
      </c>
      <c r="E23" s="12">
        <f t="shared" si="1"/>
        <v>12000</v>
      </c>
      <c r="F23" s="10">
        <f t="shared" si="2"/>
        <v>22507.086614173226</v>
      </c>
      <c r="G23" s="10">
        <v>13344</v>
      </c>
      <c r="H23" s="10">
        <v>12000</v>
      </c>
      <c r="I23" s="10">
        <f t="shared" si="3"/>
        <v>25344</v>
      </c>
    </row>
    <row r="24" spans="1:9" s="1" customFormat="1" ht="15" thickBot="1" x14ac:dyDescent="0.4">
      <c r="A24" s="47" t="s">
        <v>130</v>
      </c>
      <c r="B24" s="41">
        <f t="shared" ref="B24" si="4">SUM(B15:B23)</f>
        <v>104</v>
      </c>
      <c r="C24" s="41"/>
      <c r="D24" s="179">
        <f t="shared" ref="D24" si="5">SUM(D15:D23)</f>
        <v>60507.401574803145</v>
      </c>
      <c r="E24" s="180">
        <f t="shared" ref="E24" si="6">SUM(E15:E23)</f>
        <v>181320</v>
      </c>
      <c r="F24" s="41">
        <f>SUM(F15:F23)</f>
        <v>241827.40157480317</v>
      </c>
      <c r="G24" s="41">
        <f>SUM(G15:G23)</f>
        <v>76844.399999999994</v>
      </c>
      <c r="H24" s="41">
        <f t="shared" ref="H24" si="7">SUM(H15:H23)</f>
        <v>181320</v>
      </c>
      <c r="I24" s="41">
        <f t="shared" ref="I24" si="8">SUM(I15:I23)</f>
        <v>258164.40000000002</v>
      </c>
    </row>
    <row r="25" spans="1:9" s="48" customFormat="1" ht="14.5" x14ac:dyDescent="0.35">
      <c r="A25" s="37"/>
      <c r="B25" s="23"/>
      <c r="C25" s="109"/>
      <c r="D25" s="23"/>
      <c r="E25" s="23"/>
      <c r="F25" s="23"/>
      <c r="G25" s="23"/>
      <c r="H25" s="23"/>
      <c r="I25" s="23"/>
    </row>
    <row r="26" spans="1:9" s="38" customFormat="1" ht="14.5" x14ac:dyDescent="0.35">
      <c r="A26" s="47"/>
      <c r="B26" s="41"/>
      <c r="C26" s="40"/>
      <c r="D26" s="41"/>
      <c r="I26" s="1"/>
    </row>
    <row r="27" spans="1:9" s="1" customFormat="1" ht="7.5" customHeight="1" x14ac:dyDescent="0.35">
      <c r="A27" s="37"/>
      <c r="B27" s="23"/>
      <c r="C27" s="39"/>
      <c r="D27" s="23"/>
      <c r="E27" s="23"/>
      <c r="F27" s="23"/>
      <c r="G27" s="23"/>
      <c r="H27" s="23"/>
      <c r="I27" s="23"/>
    </row>
    <row r="28" spans="1:9" s="1" customFormat="1" ht="27.9" customHeight="1" x14ac:dyDescent="0.6">
      <c r="A28" s="85" t="s">
        <v>7</v>
      </c>
      <c r="B28" s="31" t="s">
        <v>25</v>
      </c>
      <c r="C28" s="31"/>
      <c r="D28" s="81"/>
      <c r="E28" s="17"/>
      <c r="F28" s="17"/>
      <c r="G28" s="171">
        <f>G30*0.1</f>
        <v>26723.040000000005</v>
      </c>
      <c r="H28" s="171"/>
      <c r="I28" s="112"/>
    </row>
    <row r="29" spans="1:9" s="16" customFormat="1" ht="3.75" customHeight="1" x14ac:dyDescent="0.6">
      <c r="A29" s="84"/>
      <c r="B29" s="29"/>
      <c r="C29" s="30"/>
      <c r="D29" s="80"/>
      <c r="E29" s="24"/>
      <c r="F29" s="96"/>
      <c r="G29" s="80"/>
      <c r="H29" s="80"/>
      <c r="I29" s="24"/>
    </row>
    <row r="30" spans="1:9" s="1" customFormat="1" ht="27.9" customHeight="1" x14ac:dyDescent="0.6">
      <c r="A30" s="101" t="s">
        <v>53</v>
      </c>
      <c r="B30" s="45" t="s">
        <v>582</v>
      </c>
      <c r="C30" s="45"/>
      <c r="D30" s="102"/>
      <c r="E30" s="103"/>
      <c r="F30" s="103"/>
      <c r="G30" s="172">
        <f>I24+G38</f>
        <v>267230.40000000002</v>
      </c>
      <c r="H30" s="172"/>
      <c r="I30" s="113"/>
    </row>
    <row r="31" spans="1:9" s="4" customFormat="1" ht="4.5" customHeight="1" x14ac:dyDescent="0.6">
      <c r="A31" s="86"/>
      <c r="B31" s="42"/>
      <c r="C31" s="42"/>
      <c r="D31" s="82"/>
      <c r="E31" s="43"/>
      <c r="F31" s="97"/>
      <c r="G31" s="82"/>
      <c r="H31" s="82"/>
      <c r="I31" s="14"/>
    </row>
    <row r="32" spans="1:9" s="2" customFormat="1" ht="27.9" customHeight="1" x14ac:dyDescent="0.35">
      <c r="E32" s="108" t="s">
        <v>23</v>
      </c>
      <c r="F32" s="108" t="s">
        <v>5</v>
      </c>
      <c r="G32" s="107"/>
      <c r="H32" s="108" t="s">
        <v>22</v>
      </c>
    </row>
    <row r="33" spans="1:9" s="1" customFormat="1" ht="4.5" customHeight="1" thickBot="1" x14ac:dyDescent="0.55000000000000004">
      <c r="A33" s="26"/>
      <c r="B33" s="23"/>
      <c r="C33" s="23"/>
      <c r="D33" s="87"/>
      <c r="E33" s="87"/>
      <c r="F33" s="98"/>
      <c r="G33" s="35"/>
      <c r="H33" s="35"/>
      <c r="I33" s="87"/>
    </row>
    <row r="34" spans="1:9" s="1" customFormat="1" ht="27.9" customHeight="1" x14ac:dyDescent="0.6">
      <c r="A34" s="170" t="s">
        <v>98</v>
      </c>
      <c r="B34" s="88" t="s">
        <v>29</v>
      </c>
      <c r="C34" s="88"/>
      <c r="D34" s="89"/>
      <c r="E34" s="181">
        <f>D24</f>
        <v>60507.401574803145</v>
      </c>
      <c r="F34" s="90">
        <f>E34*0.27</f>
        <v>16336.998425196851</v>
      </c>
      <c r="G34" s="172">
        <f>E34+F34</f>
        <v>76844.399999999994</v>
      </c>
      <c r="H34" s="172"/>
      <c r="I34" s="100"/>
    </row>
    <row r="35" spans="1:9" s="32" customFormat="1" ht="4.5" customHeight="1" x14ac:dyDescent="0.6">
      <c r="A35" s="170"/>
      <c r="B35" s="83"/>
      <c r="C35" s="83"/>
      <c r="D35" s="91"/>
      <c r="E35" s="182"/>
      <c r="F35" s="92"/>
      <c r="G35" s="95"/>
      <c r="H35" s="95"/>
      <c r="I35" s="79"/>
    </row>
    <row r="36" spans="1:9" s="1" customFormat="1" ht="27.9" customHeight="1" thickBot="1" x14ac:dyDescent="0.65">
      <c r="A36" s="170"/>
      <c r="B36" s="88" t="s">
        <v>18</v>
      </c>
      <c r="C36" s="88"/>
      <c r="D36" s="89"/>
      <c r="E36" s="183">
        <f>E24</f>
        <v>181320</v>
      </c>
      <c r="F36" s="90">
        <v>0</v>
      </c>
      <c r="G36" s="172">
        <f>E36+F36</f>
        <v>181320</v>
      </c>
      <c r="H36" s="172"/>
      <c r="I36" s="100"/>
    </row>
    <row r="37" spans="1:9" s="1" customFormat="1" ht="4.5" customHeight="1" x14ac:dyDescent="0.5">
      <c r="A37" s="170"/>
      <c r="B37" s="93"/>
      <c r="C37" s="93"/>
      <c r="D37" s="94"/>
      <c r="E37" s="93"/>
      <c r="F37" s="99"/>
      <c r="G37" s="94"/>
      <c r="H37" s="94"/>
      <c r="I37" s="87"/>
    </row>
    <row r="38" spans="1:9" s="1" customFormat="1" ht="27.9" customHeight="1" x14ac:dyDescent="0.6">
      <c r="A38" s="170"/>
      <c r="B38" s="88" t="s">
        <v>59</v>
      </c>
      <c r="C38" s="88"/>
      <c r="D38" s="89"/>
      <c r="E38" s="90">
        <v>9066</v>
      </c>
      <c r="F38" s="90">
        <v>0</v>
      </c>
      <c r="G38" s="172">
        <f>E38+F38</f>
        <v>9066</v>
      </c>
      <c r="H38" s="172"/>
      <c r="I38" s="100"/>
    </row>
    <row r="39" spans="1:9" s="1" customFormat="1" ht="15" customHeight="1" x14ac:dyDescent="0.35">
      <c r="A39" s="26"/>
      <c r="B39" s="23"/>
      <c r="C39" s="23"/>
      <c r="D39" s="87"/>
      <c r="E39" s="87"/>
      <c r="F39" s="87"/>
      <c r="G39" s="87"/>
      <c r="H39" s="87"/>
      <c r="I39" s="14"/>
    </row>
    <row r="40" spans="1:9" ht="15" customHeight="1" thickBot="1" x14ac:dyDescent="0.4">
      <c r="A40" s="26"/>
      <c r="B40" s="184" t="s">
        <v>601</v>
      </c>
      <c r="C40" s="184"/>
      <c r="D40" s="184"/>
      <c r="E40" s="184" t="s">
        <v>602</v>
      </c>
      <c r="F40" s="184"/>
      <c r="G40" s="184"/>
      <c r="H40" s="184" t="s">
        <v>603</v>
      </c>
    </row>
    <row r="41" spans="1:9" s="1" customFormat="1" ht="18" customHeight="1" x14ac:dyDescent="0.35">
      <c r="A41" s="6" t="s">
        <v>583</v>
      </c>
      <c r="B41" s="4" t="s">
        <v>584</v>
      </c>
      <c r="D41" s="14"/>
      <c r="E41" s="14" t="s">
        <v>585</v>
      </c>
      <c r="F41" s="14"/>
      <c r="G41" s="14"/>
      <c r="H41" s="14"/>
      <c r="I41" s="14"/>
    </row>
    <row r="42" spans="1:9" s="1" customFormat="1" ht="18" customHeight="1" x14ac:dyDescent="0.35">
      <c r="A42" s="3"/>
      <c r="B42" s="4" t="s">
        <v>586</v>
      </c>
      <c r="C42" s="4"/>
      <c r="D42" s="14"/>
      <c r="E42" s="14" t="s">
        <v>587</v>
      </c>
      <c r="F42" s="14"/>
      <c r="G42" s="14"/>
      <c r="H42" s="14"/>
      <c r="I42" s="14"/>
    </row>
    <row r="43" spans="1:9" s="1" customFormat="1" ht="18" customHeight="1" x14ac:dyDescent="0.35">
      <c r="A43" s="3"/>
      <c r="B43" s="4" t="s">
        <v>588</v>
      </c>
      <c r="C43" s="4"/>
      <c r="D43" s="14"/>
      <c r="E43" s="14" t="s">
        <v>589</v>
      </c>
      <c r="F43" s="14"/>
      <c r="G43" s="14"/>
      <c r="H43" s="14"/>
      <c r="I43" s="14"/>
    </row>
    <row r="44" spans="1:9" s="1" customFormat="1" ht="18" customHeight="1" x14ac:dyDescent="0.35">
      <c r="A44" s="3"/>
      <c r="B44" s="4" t="s">
        <v>590</v>
      </c>
      <c r="C44" s="4"/>
      <c r="D44" s="14"/>
      <c r="E44" s="14" t="s">
        <v>591</v>
      </c>
      <c r="F44" s="14"/>
      <c r="G44" s="14"/>
      <c r="H44" s="14"/>
      <c r="I44" s="14"/>
    </row>
    <row r="45" spans="1:9" s="1" customFormat="1" ht="18" customHeight="1" x14ac:dyDescent="0.35">
      <c r="A45" s="3"/>
      <c r="B45" s="1" t="s">
        <v>592</v>
      </c>
      <c r="C45" s="4"/>
      <c r="D45" s="14"/>
      <c r="E45" s="14" t="s">
        <v>593</v>
      </c>
      <c r="F45" s="14"/>
      <c r="G45" s="14"/>
      <c r="H45" s="14"/>
      <c r="I45" s="14"/>
    </row>
    <row r="46" spans="1:9" s="1" customFormat="1" ht="18" customHeight="1" x14ac:dyDescent="0.35">
      <c r="A46" s="3"/>
      <c r="B46" s="4" t="s">
        <v>594</v>
      </c>
      <c r="C46" s="4"/>
      <c r="D46" s="14"/>
      <c r="E46" s="14" t="s">
        <v>595</v>
      </c>
      <c r="F46" s="14"/>
      <c r="G46" s="14"/>
      <c r="H46" s="14"/>
      <c r="I46" s="14"/>
    </row>
    <row r="47" spans="1:9" s="1" customFormat="1" ht="18" customHeight="1" x14ac:dyDescent="0.35">
      <c r="A47" s="3"/>
      <c r="B47" s="4"/>
      <c r="C47" s="4"/>
      <c r="D47" s="14"/>
      <c r="E47" s="14" t="s">
        <v>596</v>
      </c>
      <c r="F47" s="14"/>
      <c r="G47" s="14"/>
      <c r="H47" s="14"/>
      <c r="I47" s="14"/>
    </row>
    <row r="48" spans="1:9" s="1" customFormat="1" ht="18" customHeight="1" x14ac:dyDescent="0.35">
      <c r="A48" s="3"/>
      <c r="B48" s="4"/>
      <c r="C48" s="4"/>
      <c r="D48" s="14"/>
      <c r="E48" s="14" t="s">
        <v>597</v>
      </c>
      <c r="F48" s="14"/>
      <c r="G48" s="14"/>
      <c r="H48" s="14"/>
      <c r="I48" s="14"/>
    </row>
    <row r="49" spans="1:9" s="1" customFormat="1" ht="15" customHeight="1" x14ac:dyDescent="0.35">
      <c r="A49" s="3"/>
      <c r="B49" s="4"/>
      <c r="C49" s="4"/>
      <c r="D49" s="14"/>
      <c r="E49" s="14"/>
      <c r="F49" s="14"/>
      <c r="G49" s="14"/>
      <c r="H49" s="14"/>
      <c r="I49" s="14"/>
    </row>
    <row r="50" spans="1:9" s="1" customFormat="1" ht="15" customHeight="1" x14ac:dyDescent="0.35">
      <c r="A50" s="6" t="s">
        <v>598</v>
      </c>
      <c r="B50" s="4" t="s">
        <v>599</v>
      </c>
      <c r="C50" s="4"/>
      <c r="D50" s="14"/>
      <c r="E50" s="14" t="s">
        <v>600</v>
      </c>
      <c r="F50" s="14"/>
      <c r="G50" s="14"/>
      <c r="H50" s="14"/>
      <c r="I50" s="14"/>
    </row>
    <row r="51" spans="1:9" s="1" customFormat="1" ht="15.5" x14ac:dyDescent="0.35">
      <c r="A51" s="3"/>
      <c r="B51" s="4"/>
      <c r="C51" s="4"/>
      <c r="D51" s="14"/>
      <c r="E51" s="14"/>
      <c r="F51" s="14"/>
      <c r="G51" s="15"/>
      <c r="H51" s="19"/>
      <c r="I51" s="19"/>
    </row>
    <row r="52" spans="1:9" s="1" customFormat="1" ht="14.25" customHeight="1" x14ac:dyDescent="0.35">
      <c r="A52" s="9" t="s">
        <v>84</v>
      </c>
      <c r="B52" s="28">
        <f ca="1">+ügyf!B5</f>
        <v>45002</v>
      </c>
      <c r="C52" s="27"/>
      <c r="D52" s="27"/>
      <c r="E52" s="27"/>
      <c r="F52" s="27"/>
      <c r="G52" s="9"/>
      <c r="H52" s="9"/>
      <c r="I52" s="53"/>
    </row>
  </sheetData>
  <mergeCells count="7">
    <mergeCell ref="A34:A38"/>
    <mergeCell ref="B7:F8"/>
    <mergeCell ref="G36:H36"/>
    <mergeCell ref="G34:H34"/>
    <mergeCell ref="G38:H38"/>
    <mergeCell ref="G28:H28"/>
    <mergeCell ref="G30:H30"/>
  </mergeCells>
  <hyperlinks>
    <hyperlink ref="G8" r:id="rId1"/>
  </hyperlinks>
  <pageMargins left="0.23622047244094491" right="0.23622047244094491" top="0.74803149606299213" bottom="0.74803149606299213" header="0.31496062992125984" footer="0.31496062992125984"/>
  <pageSetup paperSize="9" scale="112" orientation="landscape" horizontalDpi="4294967292" r:id="rId2"/>
  <headerFooter>
    <oddFooter>&amp;C&amp;P. oldal</oddFooter>
  </headerFooter>
  <rowBreaks count="1" manualBreakCount="1">
    <brk id="38" max="6" man="1"/>
  </rowBreak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T20"/>
  <sheetViews>
    <sheetView workbookViewId="0"/>
  </sheetViews>
  <sheetFormatPr defaultColWidth="0" defaultRowHeight="14.5" zeroHeight="1" x14ac:dyDescent="0.35"/>
  <cols>
    <col min="1" max="1" width="9.08984375" customWidth="1"/>
    <col min="2" max="3" width="13" customWidth="1"/>
    <col min="4" max="4" width="9.08984375" customWidth="1"/>
    <col min="5" max="5" width="10.453125" customWidth="1"/>
    <col min="6" max="6" width="14.6328125" customWidth="1"/>
    <col min="7" max="8" width="9.08984375" customWidth="1"/>
    <col min="9" max="9" width="13.90625" bestFit="1" customWidth="1"/>
    <col min="10" max="18" width="9.08984375" customWidth="1"/>
    <col min="19" max="19" width="0" hidden="1" customWidth="1"/>
    <col min="20" max="16384" width="9.08984375" hidden="1"/>
  </cols>
  <sheetData>
    <row r="1" spans="1:20" ht="15" customHeight="1" x14ac:dyDescent="0.35">
      <c r="A1" s="132" t="s">
        <v>30</v>
      </c>
      <c r="B1" s="133" t="s">
        <v>31</v>
      </c>
      <c r="C1" s="114" t="s">
        <v>89</v>
      </c>
      <c r="D1" s="115" t="s">
        <v>90</v>
      </c>
      <c r="E1" s="134" t="s">
        <v>32</v>
      </c>
      <c r="F1" s="114" t="s">
        <v>33</v>
      </c>
      <c r="G1" s="135" t="s">
        <v>2</v>
      </c>
      <c r="H1" s="135" t="s">
        <v>97</v>
      </c>
      <c r="I1" s="134" t="s">
        <v>34</v>
      </c>
      <c r="J1" s="136" t="s">
        <v>35</v>
      </c>
      <c r="K1" s="137" t="s">
        <v>36</v>
      </c>
      <c r="L1" s="138" t="s">
        <v>37</v>
      </c>
      <c r="M1" s="136" t="s">
        <v>38</v>
      </c>
      <c r="N1" s="139" t="s">
        <v>39</v>
      </c>
      <c r="O1" s="140" t="s">
        <v>40</v>
      </c>
      <c r="P1" s="134" t="s">
        <v>41</v>
      </c>
      <c r="Q1" s="141" t="s">
        <v>42</v>
      </c>
      <c r="R1" s="115" t="s">
        <v>94</v>
      </c>
    </row>
    <row r="2" spans="1:20" s="3" customFormat="1" ht="15" customHeight="1" x14ac:dyDescent="0.35">
      <c r="A2" s="104">
        <v>4841</v>
      </c>
      <c r="B2" s="105">
        <v>6154</v>
      </c>
      <c r="C2" s="128" t="str">
        <f t="shared" ref="C2" si="0">D2</f>
        <v>Martinás-Seprényi Zsuzsanna</v>
      </c>
      <c r="D2" s="148" t="s">
        <v>113</v>
      </c>
      <c r="E2" t="s">
        <v>138</v>
      </c>
      <c r="F2" s="149" t="s">
        <v>114</v>
      </c>
      <c r="G2" s="131" t="s">
        <v>115</v>
      </c>
      <c r="H2" s="129"/>
      <c r="I2" t="s">
        <v>139</v>
      </c>
      <c r="J2" s="150" t="s">
        <v>116</v>
      </c>
      <c r="K2" s="129"/>
      <c r="L2" s="129" t="s">
        <v>95</v>
      </c>
      <c r="M2" s="151" t="s">
        <v>117</v>
      </c>
      <c r="N2" s="129" t="str">
        <f t="shared" ref="N2" si="1">CONCATENATE("Tisztelt ",D2,"! Árajánlatunkat elküldtük az alábbi e-mail címre: ",G2,". Amennyiben nem érkezett meg a levél, legyen szíves küldeni egy üres e-mail-t a banai.viktor@infrafutesszaki.hu e-mail címre. ","Válaszlevélben újra küldjük az árajánlatot. Köszönöm együttműködését! Üdvözlettel, Banai Viktor, kivitelezési vezető Victorie Conseil Kft. +36-30-437-5159 https://infrafutesszaki.hu/")</f>
        <v>Tisztelt Martinás-Seprényi Zsuzsanna! Árajánlatunkat elküldtük az alábbi e-mail címre: zsuzska.seprenyi@gmail.com. Amennyiben nem érkezett meg a levél, legyen szíves küldeni egy üres e-mail-t a banai.viktor@infrafutesszaki.hu e-mail címre. Válaszlevélben újra küldjük az árajánlatot. Köszönöm együttműködését! Üdvözlettel, Banai Viktor, kivitelezési vezető Victorie Conseil Kft. +36-30-437-5159 https://infrafutesszaki.hu/</v>
      </c>
      <c r="O2" s="106">
        <v>3</v>
      </c>
      <c r="P2" s="129" t="s">
        <v>118</v>
      </c>
      <c r="Q2" s="129"/>
      <c r="R2" s="129" t="s">
        <v>120</v>
      </c>
      <c r="S2" s="129"/>
      <c r="T2" s="130" t="s">
        <v>119</v>
      </c>
    </row>
    <row r="3" spans="1:20" x14ac:dyDescent="0.35"/>
    <row r="4" spans="1:20" x14ac:dyDescent="0.35"/>
    <row r="5" spans="1:20" x14ac:dyDescent="0.35">
      <c r="A5" s="52" t="s">
        <v>84</v>
      </c>
      <c r="B5" s="28">
        <f ca="1">TODAY()+30</f>
        <v>45002</v>
      </c>
      <c r="C5" s="28"/>
      <c r="F5" s="4"/>
      <c r="G5" s="4"/>
      <c r="H5" s="4"/>
      <c r="I5" s="4"/>
    </row>
    <row r="6" spans="1:20" x14ac:dyDescent="0.35">
      <c r="A6" s="9" t="s">
        <v>45</v>
      </c>
      <c r="B6" s="28"/>
      <c r="C6" s="28"/>
      <c r="D6" s="4"/>
      <c r="E6" s="4"/>
      <c r="F6" s="4"/>
      <c r="G6" s="4"/>
      <c r="H6" s="4"/>
      <c r="I6" s="4"/>
    </row>
    <row r="7" spans="1:20" x14ac:dyDescent="0.35">
      <c r="A7" s="9"/>
      <c r="B7" s="28"/>
      <c r="C7" s="28"/>
      <c r="D7" s="4"/>
      <c r="E7" s="4"/>
      <c r="F7" s="4"/>
      <c r="G7" s="4"/>
      <c r="H7" s="4"/>
      <c r="I7" s="4"/>
    </row>
    <row r="8" spans="1:20" x14ac:dyDescent="0.35">
      <c r="A8" s="9" t="s">
        <v>8</v>
      </c>
      <c r="B8" s="4"/>
      <c r="C8" s="4"/>
      <c r="D8" s="4"/>
      <c r="E8" s="4"/>
      <c r="F8" s="4"/>
      <c r="G8" s="4"/>
      <c r="H8" s="4"/>
      <c r="I8" s="4"/>
    </row>
    <row r="9" spans="1:20" x14ac:dyDescent="0.35">
      <c r="A9" s="21" t="s">
        <v>9</v>
      </c>
      <c r="B9" s="4"/>
      <c r="C9" s="4"/>
      <c r="D9" s="4"/>
      <c r="E9" s="4"/>
      <c r="F9" s="3"/>
      <c r="G9" s="4"/>
      <c r="H9" s="4"/>
      <c r="I9" s="4"/>
    </row>
    <row r="10" spans="1:20" x14ac:dyDescent="0.35">
      <c r="A10" s="21" t="s">
        <v>19</v>
      </c>
      <c r="B10" s="4"/>
      <c r="C10" s="4"/>
      <c r="D10" s="4"/>
      <c r="E10" s="4"/>
      <c r="F10" s="3"/>
      <c r="G10" s="4"/>
      <c r="H10" s="4"/>
      <c r="I10" s="4"/>
    </row>
    <row r="11" spans="1:20" x14ac:dyDescent="0.35"/>
    <row r="12" spans="1:20" x14ac:dyDescent="0.35">
      <c r="A12" s="21" t="s">
        <v>43</v>
      </c>
    </row>
    <row r="13" spans="1:20" x14ac:dyDescent="0.35">
      <c r="A13" s="21" t="s">
        <v>46</v>
      </c>
    </row>
    <row r="14" spans="1:20" x14ac:dyDescent="0.35">
      <c r="A14" s="21" t="s">
        <v>47</v>
      </c>
    </row>
    <row r="15" spans="1:20" x14ac:dyDescent="0.35">
      <c r="A15" s="21" t="s">
        <v>44</v>
      </c>
    </row>
    <row r="16" spans="1:20" x14ac:dyDescent="0.35"/>
    <row r="17" x14ac:dyDescent="0.35"/>
    <row r="18" x14ac:dyDescent="0.35"/>
    <row r="19" x14ac:dyDescent="0.35"/>
    <row r="20" x14ac:dyDescent="0.35"/>
  </sheetData>
  <hyperlinks>
    <hyperlink ref="G2" r:id="rId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workbookViewId="0">
      <selection activeCell="D5" sqref="D5"/>
    </sheetView>
  </sheetViews>
  <sheetFormatPr defaultRowHeight="14.5" x14ac:dyDescent="0.35"/>
  <cols>
    <col min="2" max="2" width="16.6328125" bestFit="1" customWidth="1"/>
    <col min="3" max="3" width="12.453125" customWidth="1"/>
    <col min="4" max="4" width="10.90625" customWidth="1"/>
    <col min="5" max="5" width="6.6328125" customWidth="1"/>
    <col min="6" max="6" width="11.6328125" bestFit="1" customWidth="1"/>
    <col min="7" max="7" width="11.1796875" customWidth="1"/>
    <col min="8" max="8" width="11.453125" customWidth="1"/>
    <col min="9" max="9" width="9.81640625" customWidth="1"/>
    <col min="10" max="10" width="9.453125" customWidth="1"/>
  </cols>
  <sheetData>
    <row r="1" spans="1:14" s="55" customFormat="1" ht="29.5" thickBot="1" x14ac:dyDescent="0.4">
      <c r="A1" s="54"/>
      <c r="B1" s="54" t="s">
        <v>48</v>
      </c>
      <c r="C1" s="54" t="s">
        <v>40</v>
      </c>
      <c r="D1" s="54" t="s">
        <v>49</v>
      </c>
      <c r="E1" s="54" t="s">
        <v>5</v>
      </c>
      <c r="F1" s="54" t="s">
        <v>50</v>
      </c>
      <c r="G1" s="54" t="s">
        <v>51</v>
      </c>
      <c r="H1" s="54" t="s">
        <v>52</v>
      </c>
      <c r="I1" s="54" t="s">
        <v>53</v>
      </c>
      <c r="J1" s="54" t="s">
        <v>54</v>
      </c>
      <c r="K1" s="54" t="s">
        <v>55</v>
      </c>
      <c r="L1" s="54" t="s">
        <v>56</v>
      </c>
    </row>
    <row r="2" spans="1:14" x14ac:dyDescent="0.35">
      <c r="A2" t="s">
        <v>57</v>
      </c>
      <c r="B2" t="s">
        <v>58</v>
      </c>
      <c r="C2" s="57" t="s">
        <v>62</v>
      </c>
      <c r="D2" s="1"/>
      <c r="E2" s="34">
        <v>0.27</v>
      </c>
      <c r="F2" s="1">
        <f>D2*(1+E2)</f>
        <v>0</v>
      </c>
      <c r="G2" s="34">
        <v>0.1</v>
      </c>
      <c r="H2" s="1">
        <f>F2*G2</f>
        <v>0</v>
      </c>
      <c r="I2" s="1">
        <f>F2-H2</f>
        <v>0</v>
      </c>
      <c r="J2" s="1"/>
      <c r="K2" s="1"/>
      <c r="L2" s="1">
        <f t="shared" ref="L2:L11" si="0">J2-K2</f>
        <v>0</v>
      </c>
      <c r="M2" s="1"/>
      <c r="N2" s="50"/>
    </row>
    <row r="3" spans="1:14" ht="16" customHeight="1" x14ac:dyDescent="0.35">
      <c r="C3" s="57" t="s">
        <v>62</v>
      </c>
      <c r="D3" s="1"/>
      <c r="E3" s="34">
        <v>0</v>
      </c>
      <c r="F3" s="1">
        <f t="shared" ref="F3:F11" si="1">D3*(1+E3)</f>
        <v>0</v>
      </c>
      <c r="G3" s="34">
        <v>0.1</v>
      </c>
      <c r="H3" s="1">
        <f t="shared" ref="H3:H11" si="2">F3*G3</f>
        <v>0</v>
      </c>
      <c r="I3" s="1">
        <f t="shared" ref="I3:I11" si="3">F3-H3</f>
        <v>0</v>
      </c>
      <c r="J3" s="1"/>
      <c r="K3" s="1"/>
      <c r="L3" s="1">
        <f t="shared" si="0"/>
        <v>0</v>
      </c>
      <c r="M3" s="1"/>
      <c r="N3" s="50"/>
    </row>
    <row r="4" spans="1:14" ht="15" thickBot="1" x14ac:dyDescent="0.4">
      <c r="A4" s="51"/>
      <c r="B4" s="51" t="s">
        <v>59</v>
      </c>
      <c r="C4" s="58" t="s">
        <v>62</v>
      </c>
      <c r="D4" s="46"/>
      <c r="E4" s="56">
        <v>0</v>
      </c>
      <c r="F4" s="46">
        <f t="shared" si="1"/>
        <v>0</v>
      </c>
      <c r="G4" s="56">
        <v>0.1</v>
      </c>
      <c r="H4" s="46">
        <f>F4*G4</f>
        <v>0</v>
      </c>
      <c r="I4" s="46">
        <f>F4-H4</f>
        <v>0</v>
      </c>
      <c r="J4" s="46"/>
      <c r="K4" s="46"/>
      <c r="L4" s="46">
        <f t="shared" si="0"/>
        <v>0</v>
      </c>
      <c r="M4" s="1"/>
      <c r="N4" s="1"/>
    </row>
    <row r="5" spans="1:14" x14ac:dyDescent="0.35">
      <c r="A5" t="s">
        <v>60</v>
      </c>
      <c r="B5" t="s">
        <v>61</v>
      </c>
      <c r="C5" s="57" t="s">
        <v>62</v>
      </c>
      <c r="D5" s="1"/>
      <c r="E5" s="34">
        <v>0.27</v>
      </c>
      <c r="F5" s="1">
        <f t="shared" si="1"/>
        <v>0</v>
      </c>
      <c r="G5" s="34">
        <v>0.1</v>
      </c>
      <c r="H5" s="1">
        <f t="shared" si="2"/>
        <v>0</v>
      </c>
      <c r="I5" s="1">
        <f t="shared" si="3"/>
        <v>0</v>
      </c>
      <c r="J5" s="1"/>
      <c r="K5" s="1"/>
      <c r="L5" s="1">
        <f t="shared" si="0"/>
        <v>0</v>
      </c>
      <c r="M5" s="1"/>
    </row>
    <row r="6" spans="1:14" x14ac:dyDescent="0.35">
      <c r="C6" s="57" t="s">
        <v>62</v>
      </c>
      <c r="D6" s="1"/>
      <c r="E6" s="34">
        <v>0</v>
      </c>
      <c r="F6" s="1">
        <f t="shared" si="1"/>
        <v>0</v>
      </c>
      <c r="G6" s="34">
        <v>0.1</v>
      </c>
      <c r="H6" s="1">
        <f t="shared" si="2"/>
        <v>0</v>
      </c>
      <c r="I6" s="1">
        <f t="shared" si="3"/>
        <v>0</v>
      </c>
      <c r="J6" s="1"/>
      <c r="K6" s="1"/>
      <c r="L6" s="1">
        <f t="shared" si="0"/>
        <v>0</v>
      </c>
      <c r="M6" s="1"/>
    </row>
    <row r="7" spans="1:14" ht="15" thickBot="1" x14ac:dyDescent="0.4">
      <c r="A7" s="51"/>
      <c r="B7" s="51" t="s">
        <v>59</v>
      </c>
      <c r="C7" s="58" t="s">
        <v>62</v>
      </c>
      <c r="D7" s="46"/>
      <c r="E7" s="56">
        <v>0</v>
      </c>
      <c r="F7" s="46">
        <f t="shared" si="1"/>
        <v>0</v>
      </c>
      <c r="G7" s="56">
        <v>0.1</v>
      </c>
      <c r="H7" s="46">
        <f>F7*G7</f>
        <v>0</v>
      </c>
      <c r="I7" s="46">
        <f>F7-H7</f>
        <v>0</v>
      </c>
      <c r="J7" s="46"/>
      <c r="K7" s="46"/>
      <c r="L7" s="46">
        <f t="shared" si="0"/>
        <v>0</v>
      </c>
      <c r="M7" s="1"/>
    </row>
    <row r="8" spans="1:14" x14ac:dyDescent="0.35">
      <c r="A8" t="s">
        <v>63</v>
      </c>
      <c r="B8" t="s">
        <v>64</v>
      </c>
      <c r="C8" s="57" t="s">
        <v>62</v>
      </c>
      <c r="D8" s="1"/>
      <c r="E8" s="34">
        <v>0.27</v>
      </c>
      <c r="F8" s="1">
        <f t="shared" si="1"/>
        <v>0</v>
      </c>
      <c r="G8" s="34">
        <v>0.1</v>
      </c>
      <c r="H8" s="1">
        <f t="shared" si="2"/>
        <v>0</v>
      </c>
      <c r="I8" s="1">
        <f t="shared" si="3"/>
        <v>0</v>
      </c>
      <c r="J8" s="1"/>
      <c r="K8" s="1"/>
      <c r="L8" s="1">
        <f t="shared" si="0"/>
        <v>0</v>
      </c>
      <c r="M8" s="1"/>
    </row>
    <row r="9" spans="1:14" ht="15" thickBot="1" x14ac:dyDescent="0.4">
      <c r="A9" s="59"/>
      <c r="B9" s="59"/>
      <c r="C9" s="60" t="s">
        <v>62</v>
      </c>
      <c r="D9" s="61"/>
      <c r="E9" s="62">
        <v>0</v>
      </c>
      <c r="F9" s="61">
        <f t="shared" si="1"/>
        <v>0</v>
      </c>
      <c r="G9" s="62">
        <v>0.1</v>
      </c>
      <c r="H9" s="61">
        <f t="shared" si="2"/>
        <v>0</v>
      </c>
      <c r="I9" s="61">
        <f t="shared" si="3"/>
        <v>0</v>
      </c>
      <c r="J9" s="61"/>
      <c r="K9" s="61"/>
      <c r="L9" s="61">
        <f t="shared" si="0"/>
        <v>0</v>
      </c>
      <c r="M9" s="1"/>
    </row>
    <row r="10" spans="1:14" ht="15" thickTop="1" x14ac:dyDescent="0.35">
      <c r="A10" t="s">
        <v>65</v>
      </c>
      <c r="B10" t="s">
        <v>66</v>
      </c>
      <c r="C10" s="57" t="s">
        <v>62</v>
      </c>
      <c r="D10" s="1"/>
      <c r="E10" s="34">
        <v>0.27</v>
      </c>
      <c r="F10" s="1">
        <f t="shared" si="1"/>
        <v>0</v>
      </c>
      <c r="G10" s="34">
        <v>0.1</v>
      </c>
      <c r="H10" s="1">
        <f t="shared" si="2"/>
        <v>0</v>
      </c>
      <c r="I10" s="1">
        <f t="shared" si="3"/>
        <v>0</v>
      </c>
      <c r="J10" s="1"/>
      <c r="K10" s="1"/>
      <c r="L10" s="1">
        <f t="shared" si="0"/>
        <v>0</v>
      </c>
      <c r="M10" s="1"/>
    </row>
    <row r="11" spans="1:14" ht="15" thickBot="1" x14ac:dyDescent="0.4">
      <c r="A11" s="51"/>
      <c r="B11" s="51"/>
      <c r="C11" s="58" t="s">
        <v>62</v>
      </c>
      <c r="D11" s="63"/>
      <c r="E11" s="56">
        <v>0</v>
      </c>
      <c r="F11" s="46">
        <f t="shared" si="1"/>
        <v>0</v>
      </c>
      <c r="G11" s="56">
        <v>0.1</v>
      </c>
      <c r="H11" s="46">
        <f t="shared" si="2"/>
        <v>0</v>
      </c>
      <c r="I11" s="46">
        <f t="shared" si="3"/>
        <v>0</v>
      </c>
      <c r="J11" s="46"/>
      <c r="K11" s="46"/>
      <c r="L11" s="46">
        <f t="shared" si="0"/>
        <v>0</v>
      </c>
      <c r="M11" s="1"/>
    </row>
    <row r="12" spans="1:14" s="50" customFormat="1" x14ac:dyDescent="0.35">
      <c r="B12" s="50" t="s">
        <v>4</v>
      </c>
      <c r="D12" s="38">
        <f>SUM(D2:D11)</f>
        <v>0</v>
      </c>
      <c r="E12" s="38"/>
      <c r="F12" s="64">
        <f>SUM(F2:F11)</f>
        <v>0</v>
      </c>
      <c r="G12" s="65"/>
      <c r="H12" s="17">
        <f>SUM(H2:H11)</f>
        <v>0</v>
      </c>
      <c r="I12" s="44">
        <f>SUM(I2:I11)</f>
        <v>0</v>
      </c>
      <c r="J12" s="38">
        <f>SUM(J2:J11)</f>
        <v>0</v>
      </c>
      <c r="K12" s="38">
        <f>SUM(K2:K11)</f>
        <v>0</v>
      </c>
      <c r="L12" s="38">
        <f>SUM(L2:L11)</f>
        <v>0</v>
      </c>
      <c r="M12" s="38"/>
    </row>
    <row r="13" spans="1:14" x14ac:dyDescent="0.35">
      <c r="B13" s="66" t="s">
        <v>67</v>
      </c>
      <c r="D13" s="1">
        <f>D12-D4-D7</f>
        <v>0</v>
      </c>
      <c r="E13" s="34"/>
      <c r="F13" s="1">
        <f>F12-F4-F7</f>
        <v>0</v>
      </c>
      <c r="G13" s="34"/>
      <c r="H13" s="1"/>
      <c r="I13" s="1"/>
      <c r="J13" s="1"/>
      <c r="K13" s="1"/>
      <c r="L13" s="1"/>
      <c r="M13" s="1"/>
    </row>
    <row r="14" spans="1:14" x14ac:dyDescent="0.35">
      <c r="D14" s="1"/>
      <c r="E14" s="1"/>
      <c r="F14" s="1"/>
      <c r="G14" s="34"/>
      <c r="H14" s="1"/>
      <c r="I14" s="1"/>
      <c r="J14" s="1"/>
      <c r="K14" s="1"/>
      <c r="L14" s="1"/>
      <c r="M14" s="1"/>
    </row>
    <row r="15" spans="1:14" x14ac:dyDescent="0.35">
      <c r="D15" s="1"/>
      <c r="E15" s="1"/>
      <c r="F15" s="1"/>
      <c r="G15" s="34"/>
      <c r="H15" s="1"/>
      <c r="I15" s="1"/>
      <c r="J15" s="1"/>
      <c r="K15" s="1"/>
      <c r="L15" s="1"/>
      <c r="M15" s="1"/>
    </row>
    <row r="16" spans="1:14" x14ac:dyDescent="0.35"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4:13" x14ac:dyDescent="0.35"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4:13" x14ac:dyDescent="0.35"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4:13" x14ac:dyDescent="0.35"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4:13" x14ac:dyDescent="0.35"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4:13" x14ac:dyDescent="0.35"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4:13" x14ac:dyDescent="0.35"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4:13" x14ac:dyDescent="0.35"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4:13" x14ac:dyDescent="0.35"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4:13" x14ac:dyDescent="0.35"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4:13" x14ac:dyDescent="0.35"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4:13" x14ac:dyDescent="0.35"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4:13" x14ac:dyDescent="0.35"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4:13" x14ac:dyDescent="0.35">
      <c r="D29" s="1"/>
      <c r="E29" s="1"/>
      <c r="F29" s="1"/>
      <c r="G29" s="1"/>
      <c r="H29" s="1"/>
      <c r="I29" s="1"/>
      <c r="J29" s="1"/>
      <c r="K29" s="1"/>
      <c r="L29" s="1"/>
      <c r="M29" s="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showGridLines="0" workbookViewId="0">
      <selection activeCell="B3" sqref="B3"/>
    </sheetView>
  </sheetViews>
  <sheetFormatPr defaultRowHeight="14.5" x14ac:dyDescent="0.35"/>
  <cols>
    <col min="1" max="1" width="18.08984375" customWidth="1"/>
    <col min="2" max="2" width="11.6328125" customWidth="1"/>
    <col min="3" max="3" width="10.7265625" customWidth="1"/>
    <col min="4" max="4" width="11.81640625" customWidth="1"/>
    <col min="5" max="5" width="11.26953125" customWidth="1"/>
    <col min="7" max="7" width="9.90625" bestFit="1" customWidth="1"/>
    <col min="8" max="8" width="9.54296875" customWidth="1"/>
    <col min="9" max="10" width="9.81640625" customWidth="1"/>
  </cols>
  <sheetData>
    <row r="1" spans="1:10" ht="21.5" thickBot="1" x14ac:dyDescent="0.55000000000000004">
      <c r="A1" s="173" t="s">
        <v>68</v>
      </c>
      <c r="B1" s="174"/>
      <c r="C1" s="174"/>
      <c r="D1" s="174"/>
      <c r="E1" s="174"/>
      <c r="F1" s="174"/>
      <c r="G1" s="174"/>
      <c r="H1" s="174"/>
      <c r="I1" s="174"/>
      <c r="J1" s="175"/>
    </row>
    <row r="2" spans="1:10" ht="15" customHeight="1" x14ac:dyDescent="0.5">
      <c r="A2" s="67"/>
      <c r="B2" s="67"/>
      <c r="C2" s="67"/>
      <c r="D2" s="67"/>
      <c r="E2" s="67"/>
      <c r="F2" s="67"/>
      <c r="G2" s="67"/>
      <c r="H2" s="67"/>
      <c r="I2" s="67"/>
      <c r="J2" s="67"/>
    </row>
    <row r="3" spans="1:10" ht="15" customHeight="1" x14ac:dyDescent="0.5">
      <c r="A3" s="68" t="s">
        <v>69</v>
      </c>
      <c r="B3" s="69"/>
      <c r="C3" s="67"/>
      <c r="D3" s="67"/>
      <c r="E3" s="67"/>
      <c r="F3" s="68"/>
      <c r="G3" s="70"/>
      <c r="H3" s="67"/>
      <c r="I3" s="67"/>
      <c r="J3" s="67"/>
    </row>
    <row r="4" spans="1:10" ht="15" customHeight="1" x14ac:dyDescent="0.35"/>
    <row r="5" spans="1:10" s="55" customFormat="1" ht="44" thickBot="1" x14ac:dyDescent="0.4">
      <c r="A5" s="54" t="s">
        <v>70</v>
      </c>
      <c r="B5" s="54" t="s">
        <v>71</v>
      </c>
      <c r="C5" s="54" t="s">
        <v>72</v>
      </c>
      <c r="D5" s="54" t="s">
        <v>73</v>
      </c>
      <c r="E5" s="54" t="s">
        <v>74</v>
      </c>
      <c r="F5" s="54" t="s">
        <v>75</v>
      </c>
      <c r="G5" s="54" t="s">
        <v>76</v>
      </c>
      <c r="H5" s="54" t="s">
        <v>77</v>
      </c>
      <c r="I5" s="54" t="s">
        <v>78</v>
      </c>
      <c r="J5" s="54" t="s">
        <v>79</v>
      </c>
    </row>
    <row r="6" spans="1:10" x14ac:dyDescent="0.35">
      <c r="A6" s="71"/>
      <c r="B6" s="71"/>
      <c r="C6" s="71"/>
      <c r="D6" s="71"/>
      <c r="E6" s="71">
        <f>C6*D6/1000</f>
        <v>0</v>
      </c>
      <c r="F6" s="72">
        <f>E6*1000/230</f>
        <v>0</v>
      </c>
      <c r="G6" s="72" t="e">
        <f>230/F6</f>
        <v>#DIV/0!</v>
      </c>
      <c r="H6" s="72">
        <v>49.9</v>
      </c>
      <c r="I6" s="71">
        <v>1</v>
      </c>
      <c r="J6" s="71">
        <v>1</v>
      </c>
    </row>
    <row r="7" spans="1:10" x14ac:dyDescent="0.35">
      <c r="A7" s="49"/>
      <c r="B7" s="49"/>
      <c r="C7" s="49"/>
      <c r="D7" s="49"/>
      <c r="E7" s="49">
        <f t="shared" ref="E7:E8" si="0">C7*D7/1000</f>
        <v>0</v>
      </c>
      <c r="F7" s="73">
        <f>E7*1000/230</f>
        <v>0</v>
      </c>
      <c r="G7" s="73" t="e">
        <f>230/F7</f>
        <v>#DIV/0!</v>
      </c>
      <c r="H7" s="73">
        <v>50.1</v>
      </c>
      <c r="I7" s="49">
        <v>1</v>
      </c>
      <c r="J7" s="49">
        <v>1</v>
      </c>
    </row>
    <row r="8" spans="1:10" x14ac:dyDescent="0.35">
      <c r="A8" s="74"/>
      <c r="B8" s="74"/>
      <c r="C8" s="74"/>
      <c r="D8" s="74"/>
      <c r="E8" s="74">
        <f t="shared" si="0"/>
        <v>0</v>
      </c>
      <c r="F8" s="75">
        <f>E8*1000/230</f>
        <v>0</v>
      </c>
      <c r="G8" s="75" t="e">
        <f>230/F8</f>
        <v>#DIV/0!</v>
      </c>
      <c r="H8" s="75">
        <v>33.200000000000003</v>
      </c>
      <c r="I8" s="74">
        <v>1</v>
      </c>
      <c r="J8" s="74">
        <v>1</v>
      </c>
    </row>
    <row r="9" spans="1:10" x14ac:dyDescent="0.35">
      <c r="A9" s="74"/>
      <c r="B9" s="74"/>
      <c r="C9" s="176"/>
      <c r="D9" s="176"/>
      <c r="E9" s="176">
        <f>C9*D9/1000</f>
        <v>0</v>
      </c>
      <c r="F9" s="177">
        <f>E9*1000/230</f>
        <v>0</v>
      </c>
      <c r="G9" s="177" t="e">
        <f>230/F9</f>
        <v>#DIV/0!</v>
      </c>
      <c r="H9" s="177">
        <v>42.1</v>
      </c>
      <c r="I9" s="176">
        <v>1</v>
      </c>
      <c r="J9" s="176">
        <v>1</v>
      </c>
    </row>
    <row r="10" spans="1:10" x14ac:dyDescent="0.35">
      <c r="A10" s="74"/>
      <c r="B10" s="74"/>
      <c r="C10" s="176"/>
      <c r="D10" s="176"/>
      <c r="E10" s="176"/>
      <c r="F10" s="177"/>
      <c r="G10" s="177"/>
      <c r="H10" s="177"/>
      <c r="I10" s="176"/>
      <c r="J10" s="176"/>
    </row>
    <row r="11" spans="1:10" ht="15" thickBot="1" x14ac:dyDescent="0.4">
      <c r="A11" s="76"/>
      <c r="B11" s="76"/>
      <c r="C11" s="76"/>
      <c r="D11" s="76"/>
      <c r="E11" s="76">
        <f t="shared" ref="E11" si="1">C11*D11/1000</f>
        <v>0</v>
      </c>
      <c r="F11" s="77">
        <f>E11*1000/230</f>
        <v>0</v>
      </c>
      <c r="G11" s="77" t="e">
        <f>230/F11</f>
        <v>#DIV/0!</v>
      </c>
      <c r="H11" s="77">
        <v>79.400000000000006</v>
      </c>
      <c r="I11" s="76">
        <v>1</v>
      </c>
      <c r="J11" s="76">
        <v>1</v>
      </c>
    </row>
    <row r="14" spans="1:10" x14ac:dyDescent="0.35">
      <c r="A14" s="13" t="s">
        <v>80</v>
      </c>
      <c r="B14" s="78"/>
    </row>
    <row r="15" spans="1:10" x14ac:dyDescent="0.35">
      <c r="A15" s="13"/>
      <c r="B15" s="78"/>
    </row>
    <row r="16" spans="1:10" x14ac:dyDescent="0.35">
      <c r="A16" s="13"/>
      <c r="B16" s="78"/>
    </row>
    <row r="17" spans="1:10" x14ac:dyDescent="0.35">
      <c r="A17" s="13"/>
      <c r="B17" s="78"/>
    </row>
    <row r="18" spans="1:10" x14ac:dyDescent="0.35">
      <c r="A18" s="13"/>
      <c r="B18" s="78"/>
    </row>
    <row r="20" spans="1:10" x14ac:dyDescent="0.35">
      <c r="F20" s="33" t="s">
        <v>6</v>
      </c>
    </row>
    <row r="21" spans="1:10" x14ac:dyDescent="0.35">
      <c r="F21" s="33" t="s">
        <v>81</v>
      </c>
    </row>
    <row r="22" spans="1:10" x14ac:dyDescent="0.35">
      <c r="F22" s="33" t="s">
        <v>82</v>
      </c>
    </row>
    <row r="23" spans="1:10" x14ac:dyDescent="0.35">
      <c r="F23" s="33"/>
    </row>
    <row r="24" spans="1:10" x14ac:dyDescent="0.35">
      <c r="F24" s="33"/>
    </row>
    <row r="25" spans="1:10" x14ac:dyDescent="0.35">
      <c r="F25" s="33"/>
    </row>
    <row r="26" spans="1:10" x14ac:dyDescent="0.35">
      <c r="F26" s="33"/>
    </row>
    <row r="27" spans="1:10" x14ac:dyDescent="0.35">
      <c r="F27" s="33"/>
    </row>
    <row r="28" spans="1:10" x14ac:dyDescent="0.35">
      <c r="F28" s="33"/>
    </row>
    <row r="29" spans="1:10" x14ac:dyDescent="0.35">
      <c r="F29" s="33"/>
    </row>
    <row r="30" spans="1:10" ht="15" thickBot="1" x14ac:dyDescent="0.4"/>
    <row r="31" spans="1:10" ht="21.5" thickBot="1" x14ac:dyDescent="0.55000000000000004">
      <c r="A31" s="173" t="s">
        <v>68</v>
      </c>
      <c r="B31" s="174"/>
      <c r="C31" s="174"/>
      <c r="D31" s="174"/>
      <c r="E31" s="174"/>
      <c r="F31" s="174"/>
      <c r="G31" s="174"/>
      <c r="H31" s="174"/>
      <c r="I31" s="174"/>
      <c r="J31" s="175"/>
    </row>
    <row r="32" spans="1:10" ht="15" customHeight="1" x14ac:dyDescent="0.5">
      <c r="A32" s="67"/>
      <c r="B32" s="67"/>
      <c r="C32" s="67"/>
      <c r="D32" s="67"/>
      <c r="E32" s="67"/>
      <c r="F32" s="67"/>
      <c r="G32" s="67"/>
      <c r="H32" s="67"/>
      <c r="I32" s="67"/>
      <c r="J32" s="67"/>
    </row>
    <row r="33" spans="1:10" ht="15" customHeight="1" x14ac:dyDescent="0.5">
      <c r="A33" s="68" t="s">
        <v>69</v>
      </c>
      <c r="B33" s="69"/>
      <c r="C33" s="67"/>
      <c r="D33" s="67"/>
      <c r="E33" s="67"/>
      <c r="F33" s="68"/>
      <c r="G33" s="70"/>
      <c r="H33" s="67"/>
      <c r="I33" s="67"/>
      <c r="J33" s="67"/>
    </row>
    <row r="34" spans="1:10" ht="15" customHeight="1" x14ac:dyDescent="0.35"/>
    <row r="35" spans="1:10" s="55" customFormat="1" ht="44" thickBot="1" x14ac:dyDescent="0.4">
      <c r="A35" s="54" t="s">
        <v>70</v>
      </c>
      <c r="B35" s="54" t="s">
        <v>71</v>
      </c>
      <c r="C35" s="54" t="s">
        <v>72</v>
      </c>
      <c r="D35" s="54" t="s">
        <v>73</v>
      </c>
      <c r="E35" s="54" t="s">
        <v>74</v>
      </c>
      <c r="F35" s="54" t="s">
        <v>75</v>
      </c>
      <c r="G35" s="54" t="s">
        <v>76</v>
      </c>
      <c r="H35" s="54" t="s">
        <v>77</v>
      </c>
      <c r="I35" s="54" t="s">
        <v>78</v>
      </c>
      <c r="J35" s="54" t="s">
        <v>79</v>
      </c>
    </row>
    <row r="36" spans="1:10" x14ac:dyDescent="0.35">
      <c r="A36" s="71"/>
      <c r="B36" s="71"/>
      <c r="C36" s="71"/>
      <c r="D36" s="71"/>
      <c r="E36" s="71">
        <f>C36*D36/1000</f>
        <v>0</v>
      </c>
      <c r="F36" s="72">
        <f>E36*1000/230</f>
        <v>0</v>
      </c>
      <c r="G36" s="72" t="e">
        <f>230/F36</f>
        <v>#DIV/0!</v>
      </c>
      <c r="H36" s="72">
        <v>49.8</v>
      </c>
      <c r="I36" s="71">
        <v>1</v>
      </c>
      <c r="J36" s="71">
        <v>1</v>
      </c>
    </row>
    <row r="37" spans="1:10" x14ac:dyDescent="0.35">
      <c r="A37" s="49"/>
      <c r="B37" s="49"/>
      <c r="C37" s="49"/>
      <c r="D37" s="49"/>
      <c r="E37" s="49">
        <f t="shared" ref="E37:E38" si="2">C37*D37/1000</f>
        <v>0</v>
      </c>
      <c r="F37" s="73">
        <f>E37*1000/230</f>
        <v>0</v>
      </c>
      <c r="G37" s="73" t="e">
        <f>230/F37</f>
        <v>#DIV/0!</v>
      </c>
      <c r="H37" s="73">
        <v>50.1</v>
      </c>
      <c r="I37" s="49">
        <v>1</v>
      </c>
      <c r="J37" s="49">
        <v>1</v>
      </c>
    </row>
    <row r="38" spans="1:10" x14ac:dyDescent="0.35">
      <c r="A38" s="74"/>
      <c r="B38" s="74"/>
      <c r="C38" s="74"/>
      <c r="D38" s="74"/>
      <c r="E38" s="74">
        <f t="shared" si="2"/>
        <v>0</v>
      </c>
      <c r="F38" s="75">
        <f>E38*1000/230</f>
        <v>0</v>
      </c>
      <c r="G38" s="75" t="e">
        <f>230/F38</f>
        <v>#DIV/0!</v>
      </c>
      <c r="H38" s="75">
        <v>33.200000000000003</v>
      </c>
      <c r="I38" s="74">
        <v>1</v>
      </c>
      <c r="J38" s="74">
        <v>1</v>
      </c>
    </row>
    <row r="39" spans="1:10" x14ac:dyDescent="0.35">
      <c r="A39" s="74"/>
      <c r="B39" s="74"/>
      <c r="C39" s="176"/>
      <c r="D39" s="176"/>
      <c r="E39" s="176">
        <f>C39*D39/1000</f>
        <v>0</v>
      </c>
      <c r="F39" s="177">
        <f>E39*1000/230</f>
        <v>0</v>
      </c>
      <c r="G39" s="177" t="e">
        <f>230/F39</f>
        <v>#DIV/0!</v>
      </c>
      <c r="H39" s="177">
        <v>42.2</v>
      </c>
      <c r="I39" s="176">
        <v>1</v>
      </c>
      <c r="J39" s="176">
        <v>1</v>
      </c>
    </row>
    <row r="40" spans="1:10" x14ac:dyDescent="0.35">
      <c r="A40" s="74"/>
      <c r="B40" s="74"/>
      <c r="C40" s="176"/>
      <c r="D40" s="176"/>
      <c r="E40" s="176"/>
      <c r="F40" s="177"/>
      <c r="G40" s="177"/>
      <c r="H40" s="177"/>
      <c r="I40" s="176"/>
      <c r="J40" s="176"/>
    </row>
    <row r="41" spans="1:10" ht="15" thickBot="1" x14ac:dyDescent="0.4">
      <c r="A41" s="76"/>
      <c r="B41" s="76"/>
      <c r="C41" s="76"/>
      <c r="D41" s="76"/>
      <c r="E41" s="76">
        <f t="shared" ref="E41" si="3">C41*D41/1000</f>
        <v>0</v>
      </c>
      <c r="F41" s="77">
        <f>E41*1000/230</f>
        <v>0</v>
      </c>
      <c r="G41" s="77" t="e">
        <f>230/F41</f>
        <v>#DIV/0!</v>
      </c>
      <c r="H41" s="77">
        <v>79.2</v>
      </c>
      <c r="I41" s="76">
        <v>1</v>
      </c>
      <c r="J41" s="76">
        <v>1</v>
      </c>
    </row>
    <row r="44" spans="1:10" x14ac:dyDescent="0.35">
      <c r="A44" s="13" t="s">
        <v>80</v>
      </c>
      <c r="B44" s="78"/>
    </row>
    <row r="45" spans="1:10" x14ac:dyDescent="0.35">
      <c r="A45" s="13"/>
      <c r="B45" s="78"/>
    </row>
    <row r="46" spans="1:10" x14ac:dyDescent="0.35">
      <c r="A46" s="13"/>
      <c r="B46" s="78"/>
    </row>
    <row r="47" spans="1:10" x14ac:dyDescent="0.35">
      <c r="A47" s="13"/>
      <c r="B47" s="78"/>
    </row>
    <row r="48" spans="1:10" x14ac:dyDescent="0.35">
      <c r="A48" s="13"/>
      <c r="B48" s="78"/>
    </row>
    <row r="50" spans="6:6" x14ac:dyDescent="0.35">
      <c r="F50" s="33" t="s">
        <v>6</v>
      </c>
    </row>
    <row r="51" spans="6:6" x14ac:dyDescent="0.35">
      <c r="F51" s="33" t="s">
        <v>81</v>
      </c>
    </row>
    <row r="52" spans="6:6" x14ac:dyDescent="0.35">
      <c r="F52" s="33" t="s">
        <v>82</v>
      </c>
    </row>
  </sheetData>
  <mergeCells count="18">
    <mergeCell ref="A31:J31"/>
    <mergeCell ref="C39:C40"/>
    <mergeCell ref="D39:D40"/>
    <mergeCell ref="E39:E40"/>
    <mergeCell ref="F39:F40"/>
    <mergeCell ref="G39:G40"/>
    <mergeCell ref="H39:H40"/>
    <mergeCell ref="I39:I40"/>
    <mergeCell ref="J39:J40"/>
    <mergeCell ref="A1:J1"/>
    <mergeCell ref="C9:C10"/>
    <mergeCell ref="D9:D10"/>
    <mergeCell ref="E9:E10"/>
    <mergeCell ref="F9:F10"/>
    <mergeCell ref="G9:G10"/>
    <mergeCell ref="H9:H10"/>
    <mergeCell ref="I9:I10"/>
    <mergeCell ref="J9:J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8</vt:i4>
      </vt:variant>
      <vt:variant>
        <vt:lpstr>Névvel ellátott tartományok</vt:lpstr>
      </vt:variant>
      <vt:variant>
        <vt:i4>2</vt:i4>
      </vt:variant>
    </vt:vector>
  </HeadingPairs>
  <TitlesOfParts>
    <vt:vector size="10" baseType="lpstr">
      <vt:lpstr>vizes munka</vt:lpstr>
      <vt:lpstr>HENA fejléc</vt:lpstr>
      <vt:lpstr>mennyiségek</vt:lpstr>
      <vt:lpstr>tételek</vt:lpstr>
      <vt:lpstr>vill</vt:lpstr>
      <vt:lpstr>ügyf</vt:lpstr>
      <vt:lpstr>ÜTEM</vt:lpstr>
      <vt:lpstr>JK</vt:lpstr>
      <vt:lpstr>'HENA fejléc'!Nyomtatási_terület</vt:lpstr>
      <vt:lpstr>vill!Nyomtatási_terület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2023-02-15T14:43:00Z</dcterms:modified>
</cp:coreProperties>
</file>